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12075"/>
  </bookViews>
  <sheets>
    <sheet name="Sheet1" sheetId="1" r:id="rId1"/>
    <sheet name="Sheet2" sheetId="2" r:id="rId2"/>
    <sheet name="Sheet3" sheetId="3" r:id="rId3"/>
  </sheets>
  <definedNames>
    <definedName name="X_Y_Range">Table3[X-Y Tolerance]</definedName>
  </definedNames>
  <calcPr calcId="125725"/>
</workbook>
</file>

<file path=xl/calcChain.xml><?xml version="1.0" encoding="utf-8"?>
<calcChain xmlns="http://schemas.openxmlformats.org/spreadsheetml/2006/main">
  <c r="N90" i="1"/>
  <c r="P89"/>
  <c r="N89"/>
  <c r="N88"/>
  <c r="N160"/>
  <c r="P159"/>
  <c r="N159"/>
  <c r="N158"/>
  <c r="N157"/>
  <c r="P156"/>
  <c r="N156"/>
  <c r="N155"/>
  <c r="P153"/>
  <c r="N154"/>
  <c r="N153"/>
  <c r="N152"/>
  <c r="N151"/>
  <c r="P150"/>
  <c r="N150"/>
  <c r="N149"/>
  <c r="K75"/>
  <c r="K74"/>
  <c r="K73"/>
  <c r="K72"/>
  <c r="K71"/>
  <c r="K70"/>
  <c r="K69"/>
  <c r="K68"/>
  <c r="K67"/>
  <c r="K138"/>
  <c r="K134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J164" s="1"/>
  <c r="K190"/>
  <c r="I164" s="1"/>
  <c r="K189"/>
  <c r="K188"/>
  <c r="K186"/>
  <c r="E164" s="1"/>
  <c r="K185"/>
  <c r="D164" s="1"/>
  <c r="K184"/>
  <c r="K183"/>
  <c r="K66"/>
  <c r="K65"/>
  <c r="K64"/>
  <c r="K63"/>
  <c r="K62"/>
  <c r="K61"/>
  <c r="K60"/>
  <c r="K59"/>
  <c r="K58"/>
  <c r="K57"/>
  <c r="J30" s="1"/>
  <c r="K56"/>
  <c r="I30" s="1"/>
  <c r="K55"/>
  <c r="K54"/>
  <c r="G30" s="1"/>
  <c r="K52"/>
  <c r="E30" s="1"/>
  <c r="K51"/>
  <c r="D30" s="1"/>
  <c r="K50"/>
  <c r="C30" s="1"/>
  <c r="K49"/>
  <c r="I209"/>
  <c r="I208"/>
  <c r="I159" s="1"/>
  <c r="I207"/>
  <c r="I206"/>
  <c r="I204"/>
  <c r="I203"/>
  <c r="D159" s="1"/>
  <c r="I202"/>
  <c r="I201"/>
  <c r="I200"/>
  <c r="I199"/>
  <c r="I160" s="1"/>
  <c r="I198"/>
  <c r="I197"/>
  <c r="I195"/>
  <c r="I194"/>
  <c r="D160" s="1"/>
  <c r="I193"/>
  <c r="I192"/>
  <c r="I191"/>
  <c r="I190"/>
  <c r="I189"/>
  <c r="I188"/>
  <c r="I186"/>
  <c r="I185"/>
  <c r="D161" s="1"/>
  <c r="I184"/>
  <c r="I183"/>
  <c r="I75"/>
  <c r="I74"/>
  <c r="I73"/>
  <c r="I72"/>
  <c r="I70"/>
  <c r="I69"/>
  <c r="I68"/>
  <c r="I67"/>
  <c r="I66"/>
  <c r="I65"/>
  <c r="I64"/>
  <c r="I63"/>
  <c r="I61"/>
  <c r="I60"/>
  <c r="I59"/>
  <c r="I58"/>
  <c r="I57"/>
  <c r="I56"/>
  <c r="I55"/>
  <c r="I54"/>
  <c r="I52"/>
  <c r="I51"/>
  <c r="I50"/>
  <c r="I49"/>
  <c r="K133"/>
  <c r="K132"/>
  <c r="K131"/>
  <c r="K130"/>
  <c r="K129"/>
  <c r="K128"/>
  <c r="E98" s="1"/>
  <c r="K127"/>
  <c r="K126"/>
  <c r="K125"/>
  <c r="B97"/>
  <c r="D98"/>
  <c r="H98"/>
  <c r="I98"/>
  <c r="J98"/>
  <c r="F98"/>
  <c r="B98"/>
  <c r="K124"/>
  <c r="K142" s="1"/>
  <c r="J97" s="1"/>
  <c r="K123"/>
  <c r="K141" s="1"/>
  <c r="K122"/>
  <c r="K140" s="1"/>
  <c r="H97" s="1"/>
  <c r="K121"/>
  <c r="K139" s="1"/>
  <c r="F99"/>
  <c r="K119"/>
  <c r="K137" s="1"/>
  <c r="K118"/>
  <c r="K136" s="1"/>
  <c r="D97" s="1"/>
  <c r="K117"/>
  <c r="K116"/>
  <c r="I142"/>
  <c r="I141"/>
  <c r="I140"/>
  <c r="I139"/>
  <c r="I137"/>
  <c r="I136"/>
  <c r="I135"/>
  <c r="I134"/>
  <c r="I133"/>
  <c r="I132"/>
  <c r="I131"/>
  <c r="I130"/>
  <c r="I128"/>
  <c r="I127"/>
  <c r="I126"/>
  <c r="I125"/>
  <c r="I124"/>
  <c r="I123"/>
  <c r="N87"/>
  <c r="N20"/>
  <c r="P19"/>
  <c r="P86"/>
  <c r="N86"/>
  <c r="N85"/>
  <c r="N84"/>
  <c r="P83"/>
  <c r="N83"/>
  <c r="N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I122"/>
  <c r="I121"/>
  <c r="I119"/>
  <c r="I118"/>
  <c r="I117"/>
  <c r="I116"/>
  <c r="B94" s="1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87" s="1"/>
  <c r="G140"/>
  <c r="G141"/>
  <c r="G142"/>
  <c r="D116"/>
  <c r="D117"/>
  <c r="D118"/>
  <c r="D119"/>
  <c r="D120"/>
  <c r="D121"/>
  <c r="D122"/>
  <c r="D123"/>
  <c r="D124"/>
  <c r="D125"/>
  <c r="B83" s="1"/>
  <c r="D126"/>
  <c r="D127"/>
  <c r="D128"/>
  <c r="D129"/>
  <c r="F83" s="1"/>
  <c r="D130"/>
  <c r="D131"/>
  <c r="D132"/>
  <c r="D133"/>
  <c r="J83" s="1"/>
  <c r="D134"/>
  <c r="D135"/>
  <c r="D136"/>
  <c r="D137"/>
  <c r="D138"/>
  <c r="D139"/>
  <c r="D140"/>
  <c r="D141"/>
  <c r="D142"/>
  <c r="J92"/>
  <c r="I87"/>
  <c r="H92"/>
  <c r="H87"/>
  <c r="E87"/>
  <c r="D92"/>
  <c r="D87"/>
  <c r="C92"/>
  <c r="C87"/>
  <c r="B93"/>
  <c r="J93"/>
  <c r="J88"/>
  <c r="I93"/>
  <c r="I88"/>
  <c r="I83"/>
  <c r="H93"/>
  <c r="H88"/>
  <c r="G83"/>
  <c r="E88"/>
  <c r="E83"/>
  <c r="C98"/>
  <c r="C88"/>
  <c r="J84"/>
  <c r="I99"/>
  <c r="I94"/>
  <c r="I89"/>
  <c r="I84"/>
  <c r="H84"/>
  <c r="G99"/>
  <c r="G89"/>
  <c r="G84"/>
  <c r="E94"/>
  <c r="E89"/>
  <c r="D84"/>
  <c r="C94"/>
  <c r="C89"/>
  <c r="B84"/>
  <c r="J112"/>
  <c r="B112"/>
  <c r="K111"/>
  <c r="M111" s="1"/>
  <c r="C111"/>
  <c r="D111" s="1"/>
  <c r="K110"/>
  <c r="M110" s="1"/>
  <c r="G110"/>
  <c r="C110"/>
  <c r="D110" s="1"/>
  <c r="G109"/>
  <c r="G108"/>
  <c r="J107"/>
  <c r="G107"/>
  <c r="B107"/>
  <c r="K106"/>
  <c r="M106" s="1"/>
  <c r="G106"/>
  <c r="C106"/>
  <c r="D106" s="1"/>
  <c r="K105"/>
  <c r="G105"/>
  <c r="C105"/>
  <c r="D105" s="1"/>
  <c r="J99"/>
  <c r="B99"/>
  <c r="G98"/>
  <c r="F97"/>
  <c r="J94"/>
  <c r="H94"/>
  <c r="G94"/>
  <c r="F94"/>
  <c r="D94"/>
  <c r="G93"/>
  <c r="F93"/>
  <c r="E93"/>
  <c r="D93"/>
  <c r="C93"/>
  <c r="I92"/>
  <c r="G92"/>
  <c r="F92"/>
  <c r="E92"/>
  <c r="J89"/>
  <c r="H89"/>
  <c r="F89"/>
  <c r="D89"/>
  <c r="B89"/>
  <c r="G88"/>
  <c r="F88"/>
  <c r="D88"/>
  <c r="B88"/>
  <c r="J87"/>
  <c r="F87"/>
  <c r="B87"/>
  <c r="F84"/>
  <c r="E84"/>
  <c r="C84"/>
  <c r="H83"/>
  <c r="D83"/>
  <c r="C83"/>
  <c r="J82"/>
  <c r="I82"/>
  <c r="H82"/>
  <c r="G82"/>
  <c r="F82"/>
  <c r="E82"/>
  <c r="D82"/>
  <c r="C82"/>
  <c r="B82"/>
  <c r="J159"/>
  <c r="G159"/>
  <c r="E159"/>
  <c r="B160"/>
  <c r="G177"/>
  <c r="G176"/>
  <c r="G175"/>
  <c r="G174"/>
  <c r="G173"/>
  <c r="G172"/>
  <c r="G38"/>
  <c r="G39"/>
  <c r="G40"/>
  <c r="G41"/>
  <c r="G42"/>
  <c r="G43"/>
  <c r="J179"/>
  <c r="B179"/>
  <c r="K178"/>
  <c r="M178" s="1"/>
  <c r="C178"/>
  <c r="D178" s="1"/>
  <c r="K177"/>
  <c r="K179" s="1"/>
  <c r="C177"/>
  <c r="J174"/>
  <c r="B174"/>
  <c r="K173"/>
  <c r="C173"/>
  <c r="D173" s="1"/>
  <c r="K172"/>
  <c r="M172" s="1"/>
  <c r="C172"/>
  <c r="F166"/>
  <c r="F160"/>
  <c r="H159"/>
  <c r="F159"/>
  <c r="C159"/>
  <c r="J40"/>
  <c r="J45"/>
  <c r="K44"/>
  <c r="M44" s="1"/>
  <c r="K43"/>
  <c r="M43" s="1"/>
  <c r="K39"/>
  <c r="M39" s="1"/>
  <c r="K38"/>
  <c r="M38" s="1"/>
  <c r="C44"/>
  <c r="C43"/>
  <c r="D43" s="1"/>
  <c r="C39"/>
  <c r="D39" s="1"/>
  <c r="C38"/>
  <c r="B45"/>
  <c r="B40"/>
  <c r="F32"/>
  <c r="F26"/>
  <c r="F25"/>
  <c r="F30"/>
  <c r="J31"/>
  <c r="C31"/>
  <c r="D31"/>
  <c r="E31"/>
  <c r="F31"/>
  <c r="G31"/>
  <c r="H31"/>
  <c r="I31"/>
  <c r="B31"/>
  <c r="J25"/>
  <c r="I25"/>
  <c r="H25"/>
  <c r="G25"/>
  <c r="E25"/>
  <c r="D25"/>
  <c r="C25"/>
  <c r="B26"/>
  <c r="G241"/>
  <c r="D241"/>
  <c r="G240"/>
  <c r="D240"/>
  <c r="G239"/>
  <c r="D239"/>
  <c r="G238"/>
  <c r="D238"/>
  <c r="K237"/>
  <c r="G237"/>
  <c r="D237"/>
  <c r="G236"/>
  <c r="D236"/>
  <c r="G235"/>
  <c r="D235"/>
  <c r="G234"/>
  <c r="D234"/>
  <c r="G233"/>
  <c r="D233"/>
  <c r="K232"/>
  <c r="I232"/>
  <c r="G232"/>
  <c r="D232"/>
  <c r="K231"/>
  <c r="I231"/>
  <c r="G231"/>
  <c r="D231"/>
  <c r="K230"/>
  <c r="I230"/>
  <c r="G230"/>
  <c r="D230"/>
  <c r="K229"/>
  <c r="I229"/>
  <c r="G229"/>
  <c r="D229"/>
  <c r="K228"/>
  <c r="G228"/>
  <c r="D228"/>
  <c r="K227"/>
  <c r="I227"/>
  <c r="G227"/>
  <c r="D227"/>
  <c r="K226"/>
  <c r="I226"/>
  <c r="G226"/>
  <c r="D226"/>
  <c r="K225"/>
  <c r="I225"/>
  <c r="G225"/>
  <c r="D225"/>
  <c r="K224"/>
  <c r="I224"/>
  <c r="G224"/>
  <c r="D224"/>
  <c r="K223"/>
  <c r="K241" s="1"/>
  <c r="I223"/>
  <c r="G223"/>
  <c r="D223"/>
  <c r="K222"/>
  <c r="K240" s="1"/>
  <c r="I222"/>
  <c r="G222"/>
  <c r="D222"/>
  <c r="K221"/>
  <c r="K239" s="1"/>
  <c r="I221"/>
  <c r="G221"/>
  <c r="D221"/>
  <c r="K220"/>
  <c r="K238" s="1"/>
  <c r="I220"/>
  <c r="G220"/>
  <c r="D220"/>
  <c r="G219"/>
  <c r="D219"/>
  <c r="K218"/>
  <c r="K236" s="1"/>
  <c r="I218"/>
  <c r="G218"/>
  <c r="D218"/>
  <c r="K217"/>
  <c r="K235" s="1"/>
  <c r="I217"/>
  <c r="G217"/>
  <c r="D217"/>
  <c r="K216"/>
  <c r="K234" s="1"/>
  <c r="I216"/>
  <c r="G216"/>
  <c r="D216"/>
  <c r="K215"/>
  <c r="K233" s="1"/>
  <c r="I215"/>
  <c r="G215"/>
  <c r="D215"/>
  <c r="J154"/>
  <c r="J149"/>
  <c r="I154"/>
  <c r="I149"/>
  <c r="H154"/>
  <c r="H149"/>
  <c r="G154"/>
  <c r="G149"/>
  <c r="F164"/>
  <c r="F154"/>
  <c r="F149"/>
  <c r="E154"/>
  <c r="E149"/>
  <c r="D154"/>
  <c r="D149"/>
  <c r="C154"/>
  <c r="C149"/>
  <c r="B154"/>
  <c r="B149"/>
  <c r="J165"/>
  <c r="J160"/>
  <c r="J155"/>
  <c r="J150"/>
  <c r="I165"/>
  <c r="I155"/>
  <c r="I150"/>
  <c r="H165"/>
  <c r="H160"/>
  <c r="H155"/>
  <c r="H150"/>
  <c r="G165"/>
  <c r="G160"/>
  <c r="G155"/>
  <c r="G150"/>
  <c r="F165"/>
  <c r="F155"/>
  <c r="F150"/>
  <c r="E165"/>
  <c r="E160"/>
  <c r="E155"/>
  <c r="E150"/>
  <c r="D165"/>
  <c r="D155"/>
  <c r="D150"/>
  <c r="C165"/>
  <c r="C160"/>
  <c r="C155"/>
  <c r="C150"/>
  <c r="B165"/>
  <c r="B155"/>
  <c r="B150"/>
  <c r="J161"/>
  <c r="J156"/>
  <c r="J151"/>
  <c r="I161"/>
  <c r="I156"/>
  <c r="I151"/>
  <c r="H164"/>
  <c r="H161"/>
  <c r="H156"/>
  <c r="H151"/>
  <c r="F161"/>
  <c r="G156"/>
  <c r="G151"/>
  <c r="F156"/>
  <c r="F151"/>
  <c r="E161"/>
  <c r="E156"/>
  <c r="E151"/>
  <c r="D156"/>
  <c r="D151"/>
  <c r="C161"/>
  <c r="C156"/>
  <c r="C151"/>
  <c r="B161"/>
  <c r="B156"/>
  <c r="B151"/>
  <c r="J26"/>
  <c r="I26"/>
  <c r="H26"/>
  <c r="G26"/>
  <c r="E26"/>
  <c r="D26"/>
  <c r="C26"/>
  <c r="J27"/>
  <c r="H27"/>
  <c r="I27"/>
  <c r="F27"/>
  <c r="E27"/>
  <c r="D27"/>
  <c r="C27"/>
  <c r="N21"/>
  <c r="C22"/>
  <c r="D22"/>
  <c r="E22"/>
  <c r="F22"/>
  <c r="G22"/>
  <c r="H22"/>
  <c r="I22"/>
  <c r="J22"/>
  <c r="B21"/>
  <c r="C21"/>
  <c r="D21"/>
  <c r="E21"/>
  <c r="F21"/>
  <c r="G21"/>
  <c r="H21"/>
  <c r="I21"/>
  <c r="J21"/>
  <c r="B20"/>
  <c r="C20"/>
  <c r="D20"/>
  <c r="E20"/>
  <c r="F20"/>
  <c r="G20"/>
  <c r="H20"/>
  <c r="I20"/>
  <c r="J20"/>
  <c r="C17"/>
  <c r="D17"/>
  <c r="E17"/>
  <c r="F17"/>
  <c r="G17"/>
  <c r="H17"/>
  <c r="I17"/>
  <c r="J17"/>
  <c r="B16"/>
  <c r="C16"/>
  <c r="D16"/>
  <c r="E16"/>
  <c r="F16"/>
  <c r="G16"/>
  <c r="H16"/>
  <c r="I16"/>
  <c r="J16"/>
  <c r="B15"/>
  <c r="C15"/>
  <c r="D15"/>
  <c r="E15"/>
  <c r="F15"/>
  <c r="G15"/>
  <c r="H15"/>
  <c r="I15"/>
  <c r="J15"/>
  <c r="B22"/>
  <c r="B17"/>
  <c r="N91" l="1"/>
  <c r="K135"/>
  <c r="C97" s="1"/>
  <c r="N93"/>
  <c r="N92"/>
  <c r="H30"/>
  <c r="B30"/>
  <c r="E97"/>
  <c r="C164"/>
  <c r="G164"/>
  <c r="B164"/>
  <c r="A102"/>
  <c r="K107"/>
  <c r="K112"/>
  <c r="B159"/>
  <c r="B92"/>
  <c r="D99"/>
  <c r="H99"/>
  <c r="C107"/>
  <c r="C112"/>
  <c r="G97"/>
  <c r="I97"/>
  <c r="C99"/>
  <c r="E99"/>
  <c r="M105"/>
  <c r="C102" s="1"/>
  <c r="A169"/>
  <c r="C174"/>
  <c r="C179"/>
  <c r="A35"/>
  <c r="C40"/>
  <c r="D177"/>
  <c r="K174"/>
  <c r="G161"/>
  <c r="B166"/>
  <c r="D166"/>
  <c r="H166"/>
  <c r="J166"/>
  <c r="D172"/>
  <c r="M173"/>
  <c r="M177"/>
  <c r="C166"/>
  <c r="E166"/>
  <c r="G166"/>
  <c r="I166"/>
  <c r="C45"/>
  <c r="K45"/>
  <c r="D38"/>
  <c r="D44"/>
  <c r="K40"/>
  <c r="B25"/>
  <c r="E32"/>
  <c r="I32"/>
  <c r="G27"/>
  <c r="D32"/>
  <c r="H32"/>
  <c r="B27"/>
  <c r="C32"/>
  <c r="G32"/>
  <c r="B32"/>
  <c r="J32"/>
  <c r="N15"/>
  <c r="N17"/>
  <c r="P22"/>
  <c r="P16"/>
  <c r="N19"/>
  <c r="N23"/>
  <c r="N16"/>
  <c r="N18"/>
  <c r="N22"/>
  <c r="N26"/>
  <c r="N24"/>
  <c r="P25"/>
  <c r="N25"/>
  <c r="P92" l="1"/>
  <c r="C169"/>
  <c r="C35"/>
</calcChain>
</file>

<file path=xl/sharedStrings.xml><?xml version="1.0" encoding="utf-8"?>
<sst xmlns="http://schemas.openxmlformats.org/spreadsheetml/2006/main" count="223" uniqueCount="65">
  <si>
    <t>Linkage Tests</t>
  </si>
  <si>
    <t>Square</t>
  </si>
  <si>
    <t>X Distance</t>
  </si>
  <si>
    <t>Y Distance</t>
  </si>
  <si>
    <t>X-Y Tolerance</t>
  </si>
  <si>
    <t>Diagonal 1</t>
  </si>
  <si>
    <t>Diagonal 2</t>
  </si>
  <si>
    <t>Square Tolerance</t>
  </si>
  <si>
    <t>User Name:</t>
  </si>
  <si>
    <t>Frame Style:</t>
  </si>
  <si>
    <t>Sled Material:</t>
  </si>
  <si>
    <t>X Distance to Datum</t>
  </si>
  <si>
    <t>X Postion Error</t>
  </si>
  <si>
    <t>Y Distance to Datum</t>
  </si>
  <si>
    <t>Y Position Error</t>
  </si>
  <si>
    <t>Top Mount</t>
  </si>
  <si>
    <t>n/a</t>
  </si>
  <si>
    <t>Meticulous Maynard</t>
  </si>
  <si>
    <t>Steel Top Beam</t>
  </si>
  <si>
    <t>Rotation Radius:</t>
  </si>
  <si>
    <t>Linkage Style:</t>
  </si>
  <si>
    <t>Dist Btwn Motors:</t>
  </si>
  <si>
    <t>Bed Angle:</t>
  </si>
  <si>
    <t>45 Degree</t>
  </si>
  <si>
    <t>Ring</t>
  </si>
  <si>
    <t>Sled Weight:</t>
  </si>
  <si>
    <t>Plywood w/ HDPE Lining</t>
  </si>
  <si>
    <t>Stock Kinematics</t>
  </si>
  <si>
    <t>Mounting Height</t>
  </si>
  <si>
    <t>Mounting Width</t>
  </si>
  <si>
    <t>X-Y Average</t>
  </si>
  <si>
    <t>X-Y Range</t>
  </si>
  <si>
    <t>X-Y Median</t>
  </si>
  <si>
    <t>Square Average</t>
  </si>
  <si>
    <t>Square Range</t>
  </si>
  <si>
    <t>Square Median</t>
  </si>
  <si>
    <t>-</t>
  </si>
  <si>
    <t>X Pos Average</t>
  </si>
  <si>
    <t>X Pos Range</t>
  </si>
  <si>
    <t>X Pos Median</t>
  </si>
  <si>
    <t>Y Pos Average</t>
  </si>
  <si>
    <t>Y Pos Range</t>
  </si>
  <si>
    <t>Y Pos Median</t>
  </si>
  <si>
    <t>X-Y Tolerance Layout</t>
  </si>
  <si>
    <t>X Position Error</t>
  </si>
  <si>
    <t>Rotation Radius</t>
  </si>
  <si>
    <t>Linkage Style</t>
  </si>
  <si>
    <t>Top Left Square</t>
  </si>
  <si>
    <t>X</t>
  </si>
  <si>
    <t>Y</t>
  </si>
  <si>
    <t>Error</t>
  </si>
  <si>
    <t>Bottom Left Square</t>
  </si>
  <si>
    <t>Benchmark Test</t>
  </si>
  <si>
    <t>Route Width</t>
  </si>
  <si>
    <t>Mid Vertical</t>
  </si>
  <si>
    <t>Left Vertical</t>
  </si>
  <si>
    <t xml:space="preserve">Right Vertical </t>
  </si>
  <si>
    <t>Mid Horizontal</t>
  </si>
  <si>
    <t>Top Horizontal</t>
  </si>
  <si>
    <t xml:space="preserve">Bottom Horizontal </t>
  </si>
  <si>
    <t>Vertical Motor Offset:</t>
  </si>
  <si>
    <t>Chain Sag Correction:</t>
  </si>
  <si>
    <t>Stock Kinematics Test Results</t>
  </si>
  <si>
    <t>Top Mount Test Results</t>
  </si>
  <si>
    <t>45 Degree Test Results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</si>
</sst>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5" xfId="0" applyFont="1" applyBorder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3" fillId="0" borderId="21" xfId="0" applyFont="1" applyFill="1" applyBorder="1"/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/>
    <xf numFmtId="0" fontId="1" fillId="2" borderId="22" xfId="0" applyFont="1" applyFill="1" applyBorder="1"/>
    <xf numFmtId="0" fontId="1" fillId="2" borderId="23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7" xfId="0" applyFont="1" applyFill="1" applyBorder="1" applyAlignment="1">
      <alignment wrapText="1"/>
    </xf>
    <xf numFmtId="0" fontId="1" fillId="2" borderId="28" xfId="0" applyFont="1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32" xfId="0" applyBorder="1"/>
    <xf numFmtId="0" fontId="0" fillId="0" borderId="3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8" xfId="0" applyBorder="1" applyAlignment="1">
      <alignment horizontal="right"/>
    </xf>
    <xf numFmtId="0" fontId="0" fillId="0" borderId="37" xfId="0" applyBorder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4" xfId="0" applyFont="1" applyBorder="1"/>
    <xf numFmtId="0" fontId="2" fillId="0" borderId="6" xfId="0" applyFont="1" applyBorder="1"/>
    <xf numFmtId="0" fontId="2" fillId="0" borderId="27" xfId="0" applyFont="1" applyBorder="1"/>
    <xf numFmtId="0" fontId="2" fillId="0" borderId="1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/>
    <xf numFmtId="0" fontId="3" fillId="0" borderId="40" xfId="0" applyFont="1" applyFill="1" applyBorder="1"/>
    <xf numFmtId="0" fontId="0" fillId="0" borderId="42" xfId="0" applyBorder="1"/>
    <xf numFmtId="0" fontId="0" fillId="0" borderId="41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0" fillId="3" borderId="0" xfId="0" applyFill="1" applyAlignment="1">
      <alignment horizontal="left"/>
    </xf>
    <xf numFmtId="2" fontId="0" fillId="3" borderId="0" xfId="0" applyNumberFormat="1" applyFill="1"/>
    <xf numFmtId="0" fontId="0" fillId="0" borderId="43" xfId="0" applyFill="1" applyBorder="1"/>
    <xf numFmtId="0" fontId="0" fillId="0" borderId="14" xfId="0" applyFill="1" applyBorder="1"/>
    <xf numFmtId="0" fontId="0" fillId="0" borderId="13" xfId="0" applyFill="1" applyBorder="1"/>
    <xf numFmtId="0" fontId="0" fillId="0" borderId="41" xfId="0" applyFill="1" applyBorder="1"/>
    <xf numFmtId="0" fontId="0" fillId="0" borderId="44" xfId="0" applyFill="1" applyBorder="1" applyAlignment="1">
      <alignment horizontal="center"/>
    </xf>
    <xf numFmtId="0" fontId="0" fillId="0" borderId="7" xfId="0" applyFill="1" applyBorder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0" borderId="44" xfId="0" applyFill="1" applyBorder="1"/>
    <xf numFmtId="0" fontId="0" fillId="0" borderId="44" xfId="0" applyFill="1" applyBorder="1" applyAlignment="1">
      <alignment wrapText="1"/>
    </xf>
    <xf numFmtId="0" fontId="0" fillId="0" borderId="44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right"/>
    </xf>
    <xf numFmtId="0" fontId="0" fillId="0" borderId="11" xfId="0" applyFill="1" applyBorder="1"/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4" borderId="15" xfId="0" applyFill="1" applyBorder="1"/>
    <xf numFmtId="0" fontId="0" fillId="4" borderId="16" xfId="0" applyFill="1" applyBorder="1"/>
    <xf numFmtId="0" fontId="0" fillId="4" borderId="16" xfId="0" applyFill="1" applyBorder="1" applyAlignment="1">
      <alignment wrapText="1"/>
    </xf>
    <xf numFmtId="0" fontId="0" fillId="4" borderId="16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right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0" fillId="0" borderId="0" xfId="0" applyBorder="1" applyAlignment="1"/>
    <xf numFmtId="0" fontId="0" fillId="0" borderId="1" xfId="0" applyBorder="1" applyAlignment="1"/>
    <xf numFmtId="0" fontId="2" fillId="0" borderId="18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27" xfId="0" applyFont="1" applyBorder="1" applyAlignment="1"/>
    <xf numFmtId="0" fontId="0" fillId="0" borderId="0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37" xfId="0" applyBorder="1" applyAlignment="1"/>
    <xf numFmtId="2" fontId="0" fillId="0" borderId="16" xfId="0" applyNumberFormat="1" applyFill="1" applyBorder="1"/>
    <xf numFmtId="2" fontId="0" fillId="0" borderId="41" xfId="0" applyNumberFormat="1" applyFill="1" applyBorder="1"/>
    <xf numFmtId="2" fontId="0" fillId="0" borderId="7" xfId="0" applyNumberFormat="1" applyFill="1" applyBorder="1"/>
    <xf numFmtId="2" fontId="0" fillId="0" borderId="10" xfId="0" applyNumberFormat="1" applyFill="1" applyBorder="1"/>
    <xf numFmtId="2" fontId="0" fillId="3" borderId="0" xfId="0" applyNumberFormat="1" applyFill="1" applyAlignment="1">
      <alignment horizontal="center"/>
    </xf>
    <xf numFmtId="2" fontId="0" fillId="0" borderId="17" xfId="0" applyNumberFormat="1" applyFill="1" applyBorder="1" applyAlignment="1">
      <alignment horizontal="left"/>
    </xf>
    <xf numFmtId="2" fontId="0" fillId="0" borderId="42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0" fontId="0" fillId="0" borderId="42" xfId="0" applyFill="1" applyBorder="1"/>
    <xf numFmtId="0" fontId="0" fillId="0" borderId="17" xfId="0" applyFill="1" applyBorder="1"/>
    <xf numFmtId="0" fontId="1" fillId="2" borderId="0" xfId="0" applyFont="1" applyFill="1" applyBorder="1" applyAlignment="1">
      <alignment horizontal="right"/>
    </xf>
    <xf numFmtId="0" fontId="1" fillId="2" borderId="15" xfId="0" applyFont="1" applyFill="1" applyBorder="1" applyAlignment="1"/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/>
    <xf numFmtId="0" fontId="3" fillId="0" borderId="15" xfId="0" applyFont="1" applyFill="1" applyBorder="1" applyAlignment="1"/>
    <xf numFmtId="0" fontId="3" fillId="0" borderId="17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3" borderId="0" xfId="0" applyFont="1" applyFill="1"/>
    <xf numFmtId="0" fontId="1" fillId="2" borderId="4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2" fillId="0" borderId="4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2" fillId="0" borderId="27" xfId="0" applyNumberFormat="1" applyFont="1" applyBorder="1" applyAlignment="1">
      <alignment wrapText="1"/>
    </xf>
    <xf numFmtId="0" fontId="2" fillId="0" borderId="4" xfId="0" applyNumberFormat="1" applyFont="1" applyBorder="1"/>
    <xf numFmtId="0" fontId="2" fillId="0" borderId="6" xfId="0" applyNumberFormat="1" applyFont="1" applyBorder="1"/>
    <xf numFmtId="0" fontId="2" fillId="0" borderId="27" xfId="0" applyNumberFormat="1" applyFont="1" applyBorder="1"/>
  </cellXfs>
  <cellStyles count="1">
    <cellStyle name="Normal" xfId="0" builtinId="0"/>
  </cellStyles>
  <dxfs count="23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general" vertical="bottom" textRotation="0" wrapText="0" indent="0" relativeIndent="0" justifyLastLine="0" shrinkToFit="0" mergeCell="0" readingOrder="0"/>
      <border diagonalUp="0" diagonalDown="0">
        <left/>
        <right style="thin">
          <color theme="0" tint="-0.499984740745262"/>
        </right>
        <top/>
        <bottom/>
      </border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numFmt numFmtId="0" formatCode="General"/>
      <border diagonalUp="0" diagonalDown="0" outline="0">
        <left/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numFmt numFmtId="0" formatCode="General"/>
      <alignment horizontal="general" vertical="bottom" textRotation="0" wrapText="1" indent="0" relativeIndent="0" justifyLastLine="0" shrinkToFit="0" mergeCell="0" readingOrder="0"/>
      <border diagonalUp="0" diagonalDown="0" outline="0">
        <left/>
        <right style="thin">
          <color theme="0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numFmt numFmtId="0" formatCode="General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numFmt numFmtId="0" formatCode="General"/>
      <alignment horizontal="general" vertical="bottom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numFmt numFmtId="0" formatCode="General"/>
      <border diagonalUp="0" diagonalDown="0" outline="0">
        <left/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numFmt numFmtId="0" formatCode="General"/>
      <alignment horizontal="general" vertical="bottom" textRotation="0" wrapText="1" indent="0" relativeIndent="0" justifyLastLine="0" shrinkToFit="0" mergeCell="0" readingOrder="0"/>
      <border diagonalUp="0" diagonalDown="0" outline="0">
        <left/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right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</border>
    </dxf>
    <dxf>
      <alignment horizontal="general" vertical="bottom" textRotation="0" wrapText="0" indent="0" relativeIndent="0" justifyLastLine="0" shrinkToFit="0" mergeCell="0" readingOrder="0"/>
      <border diagonalUp="0" diagonalDown="0">
        <left style="thin">
          <color theme="0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general" vertical="bottom" textRotation="0" wrapText="0" indent="0" relativeIndent="0" justifyLastLine="0" shrinkToFit="0" mergeCell="0" readingOrder="0"/>
      <border diagonalUp="0" diagonalDown="0">
        <left/>
        <right style="thin">
          <color theme="0" tint="-0.499984740745262"/>
        </right>
        <top/>
        <bottom/>
      </border>
    </dxf>
    <dxf>
      <alignment horizontal="right" vertical="bottom" textRotation="0" wrapText="0" indent="0" relativeIndent="0" justifyLastLine="0" shrinkToFit="0" mergeCell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right" vertical="bottom" textRotation="0" wrapText="0" indent="0" relative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alignment horizontal="right" vertical="bottom" textRotation="0" wrapText="0" indent="0" relativeIndent="0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right" vertical="bottom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right" vertical="bottom" textRotation="0" wrapText="0" indent="0" relativeIndent="0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/>
        <top/>
        <bottom/>
      </border>
    </dxf>
    <dxf>
      <border diagonalUp="0" diagonalDown="0" outline="0">
        <left style="thin">
          <color theme="0" tint="-0.499984740745262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general" vertical="bottom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/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right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</border>
    </dxf>
    <dxf>
      <alignment horizontal="general" vertical="bottom" textRotation="0" wrapText="0" indent="0" relativeIndent="0" justifyLastLine="0" shrinkToFit="0" mergeCell="0" readingOrder="0"/>
      <border diagonalUp="0" diagonalDown="0">
        <left style="thin">
          <color theme="0" tint="-0.499984740745262"/>
        </left>
        <right/>
        <top/>
        <bottom/>
      </border>
    </dxf>
    <dxf>
      <alignment horizontal="right" vertical="bottom" textRotation="0" wrapText="0" indent="0" relativeIndent="0" justifyLastLine="0" shrinkToFit="0" mergeCell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right" vertical="bottom" textRotation="0" wrapText="0" indent="0" relativeIndent="0" justifyLastLine="0" shrinkToFit="0" readingOrder="0"/>
    </dxf>
    <dxf>
      <alignment horizontal="general" vertical="bottom" textRotation="0" wrapText="0" indent="0" relativeIndent="255" justifyLastLine="0" shrinkToFit="0" mergeCell="0" readingOrder="0"/>
      <border diagonalUp="0" diagonalDown="0" outline="0">
        <left style="thin">
          <color theme="0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general" vertical="bottom" textRotation="0" wrapText="0" indent="0" relativeIndent="255" justifyLastLine="0" shrinkToFit="0" mergeCell="0" readingOrder="0"/>
      <border diagonalUp="0" diagonalDown="0" outline="0">
        <left/>
        <right style="thin">
          <color auto="1"/>
        </right>
        <top/>
        <bottom/>
      </border>
    </dxf>
    <dxf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theme="0" tint="-0.499984740745262"/>
        </left>
        <right/>
        <top/>
        <bottom/>
      </border>
    </dxf>
    <dxf>
      <border diagonalUp="0" diagonalDown="0" outline="0">
        <left style="thin">
          <color auto="1"/>
        </left>
        <right/>
        <top/>
        <bottom/>
      </border>
    </dxf>
    <dxf>
      <border diagonalUp="0" diagonalDown="0" outline="0">
        <left style="thin">
          <color theme="0" tint="-0.499984740745262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/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48:K75" totalsRowShown="0" headerRowDxfId="238" headerRowBorderDxfId="237" tableBorderDxfId="236">
  <autoFilter ref="A48:K75"/>
  <tableColumns count="11">
    <tableColumn id="1" name="Square" dataDxfId="235"/>
    <tableColumn id="2" name="X Distance" dataDxfId="234"/>
    <tableColumn id="3" name="Y Distance" dataDxfId="233"/>
    <tableColumn id="4" name="X-Y Tolerance" dataDxfId="193">
      <calculatedColumnFormula>ABS(B49-C49)</calculatedColumnFormula>
    </tableColumn>
    <tableColumn id="5" name="Diagonal 1" dataDxfId="232"/>
    <tableColumn id="6" name="Diagonal 2" dataDxfId="231"/>
    <tableColumn id="7" name="Square Tolerance" dataDxfId="192">
      <calculatedColumnFormula>ABS(E49-F49)</calculatedColumnFormula>
    </tableColumn>
    <tableColumn id="8" name="X Distance to Datum" dataDxfId="230"/>
    <tableColumn id="9" name="X Postion Error" dataDxfId="229"/>
    <tableColumn id="10" name="Y Distance to Datum" dataDxfId="228"/>
    <tableColumn id="11" name="Y Position Error" dataDxfId="227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6" name="Table367" displayName="Table367" ref="A182:K209" totalsRowShown="0" headerRowDxfId="226" headerRowBorderDxfId="225" tableBorderDxfId="224">
  <autoFilter ref="A182:K209"/>
  <tableColumns count="11">
    <tableColumn id="1" name="Square" dataDxfId="223"/>
    <tableColumn id="2" name="X Distance" dataDxfId="222"/>
    <tableColumn id="3" name="Y Distance"/>
    <tableColumn id="4" name="X-Y Tolerance" dataDxfId="191">
      <calculatedColumnFormula>ABS(B183-C183)</calculatedColumnFormula>
    </tableColumn>
    <tableColumn id="5" name="Diagonal 1"/>
    <tableColumn id="6" name="Diagonal 2"/>
    <tableColumn id="7" name="Square Tolerance" dataDxfId="190">
      <calculatedColumnFormula>ABS(E183-F183)</calculatedColumnFormula>
    </tableColumn>
    <tableColumn id="8" name="X Distance to Datum" dataDxfId="221"/>
    <tableColumn id="9" name="X Postion Error" dataDxfId="127"/>
    <tableColumn id="10" name="Y Distance to Datum" dataDxfId="220"/>
    <tableColumn id="11" name="Y Position Error" dataDxfId="219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7" name="Table368" displayName="Table368" ref="A214:K241" totalsRowShown="0" headerRowDxfId="218" headerRowBorderDxfId="217" tableBorderDxfId="216">
  <autoFilter ref="A214:K241"/>
  <tableColumns count="11">
    <tableColumn id="1" name="Square" dataDxfId="215"/>
    <tableColumn id="2" name="X Distance" dataDxfId="214"/>
    <tableColumn id="3" name="Y Distance" dataDxfId="213"/>
    <tableColumn id="4" name="X-Y Tolerance" dataDxfId="212">
      <calculatedColumnFormula>B215-C215</calculatedColumnFormula>
    </tableColumn>
    <tableColumn id="5" name="Diagonal 1" dataDxfId="211"/>
    <tableColumn id="6" name="Diagonal 2" dataDxfId="210"/>
    <tableColumn id="7" name="Square Tolerance" dataDxfId="209">
      <calculatedColumnFormula>E215-F215</calculatedColumnFormula>
    </tableColumn>
    <tableColumn id="8" name="X Distance to Datum" dataDxfId="208"/>
    <tableColumn id="9" name="X Postion Error" dataDxfId="207"/>
    <tableColumn id="10" name="Y Distance to Datum" dataDxfId="206"/>
    <tableColumn id="11" name="Y Position Error" dataDxfId="205">
      <calculatedColumnFormula>#REF!</calculatedColumnFormula>
    </tableColumn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id="1" name="Table3672" displayName="Table3672" ref="A115:K142" totalsRowShown="0" headerRowDxfId="204" headerRowBorderDxfId="203" tableBorderDxfId="202">
  <autoFilter ref="A115:K142"/>
  <tableColumns count="11">
    <tableColumn id="1" name="Square" dataDxfId="201"/>
    <tableColumn id="2" name="X Distance" dataDxfId="200"/>
    <tableColumn id="3" name="Y Distance"/>
    <tableColumn id="4" name="X-Y Tolerance" dataDxfId="195">
      <calculatedColumnFormula>ABS(B116-C116)</calculatedColumnFormula>
    </tableColumn>
    <tableColumn id="5" name="Diagonal 1"/>
    <tableColumn id="6" name="Diagonal 2"/>
    <tableColumn id="7" name="Square Tolerance" dataDxfId="194">
      <calculatedColumnFormula>ABS(E116-F116)</calculatedColumnFormula>
    </tableColumn>
    <tableColumn id="8" name="X Distance to Datum" dataDxfId="199"/>
    <tableColumn id="9" name="X Postion Error" dataDxfId="198"/>
    <tableColumn id="10" name="Y Distance to Datum" dataDxfId="197"/>
    <tableColumn id="11" name="Y Position Error" dataDxfId="196">
      <calculatedColumnFormula>#REF!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1"/>
  <sheetViews>
    <sheetView showGridLines="0" tabSelected="1" topLeftCell="A70" workbookViewId="0">
      <selection activeCell="N129" sqref="N129"/>
    </sheetView>
  </sheetViews>
  <sheetFormatPr defaultRowHeight="15"/>
  <cols>
    <col min="1" max="1" width="16.5703125" style="21" customWidth="1"/>
    <col min="2" max="2" width="12.28515625" style="21" customWidth="1"/>
    <col min="3" max="3" width="12.140625" style="21" customWidth="1"/>
    <col min="4" max="4" width="12.7109375" style="22" customWidth="1"/>
    <col min="5" max="6" width="12.28515625" style="21" customWidth="1"/>
    <col min="7" max="7" width="12.7109375" style="21" customWidth="1"/>
    <col min="8" max="8" width="12.7109375" style="23" customWidth="1"/>
    <col min="9" max="9" width="10.7109375" style="23" customWidth="1"/>
    <col min="10" max="10" width="12.7109375" style="23" customWidth="1"/>
    <col min="11" max="12" width="10.7109375" style="23" customWidth="1"/>
    <col min="13" max="13" width="16.7109375" style="21" customWidth="1"/>
    <col min="14" max="14" width="8.7109375" style="73" customWidth="1"/>
    <col min="15" max="15" width="1.7109375" style="21" customWidth="1"/>
    <col min="16" max="16" width="8.7109375" style="133" customWidth="1"/>
    <col min="17" max="17" width="9.140625" style="72"/>
    <col min="18" max="16384" width="9.140625" style="21"/>
  </cols>
  <sheetData>
    <row r="1" spans="1:17" ht="31.5">
      <c r="A1" s="20" t="s">
        <v>0</v>
      </c>
      <c r="B1" s="7"/>
      <c r="C1" s="8"/>
    </row>
    <row r="2" spans="1:17">
      <c r="A2" s="148" t="s">
        <v>8</v>
      </c>
      <c r="B2" s="68" t="s">
        <v>17</v>
      </c>
      <c r="C2" s="67"/>
    </row>
    <row r="3" spans="1:17">
      <c r="A3" s="149" t="s">
        <v>9</v>
      </c>
      <c r="B3" s="69" t="s">
        <v>18</v>
      </c>
      <c r="C3" s="4"/>
    </row>
    <row r="4" spans="1:17">
      <c r="A4" s="149" t="s">
        <v>10</v>
      </c>
      <c r="B4" s="69" t="s">
        <v>26</v>
      </c>
      <c r="C4" s="4"/>
    </row>
    <row r="5" spans="1:17">
      <c r="A5" s="149" t="s">
        <v>21</v>
      </c>
      <c r="B5" s="69">
        <v>2761</v>
      </c>
      <c r="C5" s="4"/>
    </row>
    <row r="6" spans="1:17" s="22" customFormat="1">
      <c r="A6" s="140" t="s">
        <v>60</v>
      </c>
      <c r="B6" s="69">
        <v>486.4</v>
      </c>
      <c r="C6" s="4"/>
      <c r="L6" s="23"/>
    </row>
    <row r="7" spans="1:17">
      <c r="A7" s="149" t="s">
        <v>22</v>
      </c>
      <c r="B7" s="69">
        <v>15</v>
      </c>
      <c r="C7" s="4"/>
    </row>
    <row r="8" spans="1:17">
      <c r="A8" s="150" t="s">
        <v>25</v>
      </c>
      <c r="B8" s="16">
        <v>39</v>
      </c>
      <c r="C8" s="6"/>
      <c r="Q8" s="21"/>
    </row>
    <row r="11" spans="1:17">
      <c r="A11" s="109" t="s">
        <v>46</v>
      </c>
      <c r="B11" s="110"/>
      <c r="C11" s="111" t="s">
        <v>45</v>
      </c>
      <c r="D11" s="111"/>
      <c r="E11" s="111" t="s">
        <v>28</v>
      </c>
      <c r="F11" s="111"/>
      <c r="G11" s="111" t="s">
        <v>29</v>
      </c>
      <c r="H11" s="110"/>
      <c r="I11" s="110"/>
      <c r="J11" s="110"/>
      <c r="K11" s="112"/>
      <c r="Q11" s="21"/>
    </row>
    <row r="12" spans="1:17">
      <c r="A12" s="113" t="s">
        <v>27</v>
      </c>
      <c r="B12" s="114"/>
      <c r="C12" s="115" t="s">
        <v>16</v>
      </c>
      <c r="D12" s="71"/>
      <c r="E12" s="71">
        <v>153.17500000000001</v>
      </c>
      <c r="F12" s="71"/>
      <c r="G12" s="71">
        <v>303.95</v>
      </c>
      <c r="H12" s="116"/>
      <c r="I12" s="116"/>
      <c r="J12" s="116"/>
      <c r="K12" s="117"/>
      <c r="Q12" s="21"/>
    </row>
    <row r="14" spans="1:17">
      <c r="B14" s="99" t="s">
        <v>43</v>
      </c>
      <c r="C14" s="100"/>
      <c r="D14" s="101"/>
      <c r="E14" s="100"/>
      <c r="F14" s="100"/>
      <c r="G14" s="100"/>
      <c r="H14" s="102"/>
      <c r="I14" s="102"/>
      <c r="J14" s="103"/>
      <c r="M14" s="84" t="s">
        <v>62</v>
      </c>
      <c r="N14" s="129"/>
      <c r="O14" s="86"/>
      <c r="P14" s="134"/>
      <c r="Q14" s="21"/>
    </row>
    <row r="15" spans="1:17">
      <c r="B15" s="77">
        <f>D67</f>
        <v>3.9000000000000057</v>
      </c>
      <c r="C15" s="89">
        <f>D68</f>
        <v>1.0999999999999943</v>
      </c>
      <c r="D15" s="90">
        <f>D69</f>
        <v>0</v>
      </c>
      <c r="E15" s="89">
        <f>D70</f>
        <v>1.2000000000000028</v>
      </c>
      <c r="F15" s="89">
        <f>D71</f>
        <v>1</v>
      </c>
      <c r="G15" s="89">
        <f>D72</f>
        <v>1.4000000000000057</v>
      </c>
      <c r="H15" s="91">
        <f>D73</f>
        <v>1.2000000000000028</v>
      </c>
      <c r="I15" s="91">
        <f>D74</f>
        <v>1.5</v>
      </c>
      <c r="J15" s="92">
        <f>D75</f>
        <v>1.5</v>
      </c>
      <c r="M15" s="74" t="s">
        <v>30</v>
      </c>
      <c r="N15" s="130">
        <f>AVERAGE(Table3[X-Y Tolerance])</f>
        <v>0.75555555555555476</v>
      </c>
      <c r="O15" s="78"/>
      <c r="P15" s="135"/>
      <c r="Q15" s="21"/>
    </row>
    <row r="16" spans="1:17">
      <c r="B16" s="79">
        <f>D58</f>
        <v>0.69999999999998863</v>
      </c>
      <c r="C16" s="88">
        <f>D59</f>
        <v>0.70000000000000284</v>
      </c>
      <c r="D16" s="93">
        <f>D60</f>
        <v>0.79999999999999716</v>
      </c>
      <c r="E16" s="88">
        <f>D61</f>
        <v>9.9999999999994316E-2</v>
      </c>
      <c r="F16" s="88">
        <f>D62</f>
        <v>0.20000000000000284</v>
      </c>
      <c r="G16" s="88">
        <f>D63</f>
        <v>0.60000000000000853</v>
      </c>
      <c r="H16" s="10">
        <f>D64</f>
        <v>0.19999999999998863</v>
      </c>
      <c r="I16" s="10">
        <f>D65</f>
        <v>0.79999999999999716</v>
      </c>
      <c r="J16" s="94">
        <f>D66</f>
        <v>0.79999999999999716</v>
      </c>
      <c r="M16" s="75" t="s">
        <v>31</v>
      </c>
      <c r="N16" s="131">
        <f>MIN(Table3[X-Y Tolerance])</f>
        <v>0</v>
      </c>
      <c r="O16" s="80" t="s">
        <v>36</v>
      </c>
      <c r="P16" s="136">
        <f>MAX(Table3[X-Y Tolerance])</f>
        <v>3.9000000000000057</v>
      </c>
      <c r="Q16" s="21"/>
    </row>
    <row r="17" spans="2:17">
      <c r="B17" s="82">
        <f>D49</f>
        <v>0.40000000000000568</v>
      </c>
      <c r="C17" s="95">
        <f>D50</f>
        <v>0.20000000000000284</v>
      </c>
      <c r="D17" s="96">
        <f>D51</f>
        <v>1</v>
      </c>
      <c r="E17" s="95">
        <f>D52</f>
        <v>0.29999999999999716</v>
      </c>
      <c r="F17" s="95">
        <f>D53</f>
        <v>0</v>
      </c>
      <c r="G17" s="95">
        <f>D54</f>
        <v>0.29999999999999716</v>
      </c>
      <c r="H17" s="97">
        <f>D55</f>
        <v>0.19999999999998863</v>
      </c>
      <c r="I17" s="97">
        <f>D56</f>
        <v>0.20000000000000284</v>
      </c>
      <c r="J17" s="98">
        <f>D57</f>
        <v>9.9999999999994316E-2</v>
      </c>
      <c r="M17" s="76" t="s">
        <v>32</v>
      </c>
      <c r="N17" s="132">
        <f>MEDIAN(Table3[X-Y Tolerance])</f>
        <v>0.69999999999998863</v>
      </c>
      <c r="O17" s="83"/>
      <c r="P17" s="137"/>
      <c r="Q17" s="21"/>
    </row>
    <row r="18" spans="2:17">
      <c r="B18" s="87"/>
      <c r="C18" s="87"/>
      <c r="D18" s="104"/>
      <c r="E18" s="87"/>
      <c r="F18" s="87"/>
      <c r="G18" s="87"/>
      <c r="H18" s="105"/>
      <c r="I18" s="105"/>
      <c r="J18" s="105"/>
      <c r="M18" s="74" t="s">
        <v>33</v>
      </c>
      <c r="N18" s="130">
        <f>AVERAGE(Table3[Square Tolerance])</f>
        <v>1.0444444444444472</v>
      </c>
      <c r="O18" s="78"/>
      <c r="P18" s="135"/>
      <c r="Q18" s="21"/>
    </row>
    <row r="19" spans="2:17">
      <c r="B19" s="84" t="s">
        <v>7</v>
      </c>
      <c r="C19" s="85"/>
      <c r="D19" s="106"/>
      <c r="E19" s="85"/>
      <c r="F19" s="85"/>
      <c r="G19" s="85"/>
      <c r="H19" s="107"/>
      <c r="I19" s="107"/>
      <c r="J19" s="108"/>
      <c r="M19" s="75" t="s">
        <v>34</v>
      </c>
      <c r="N19" s="131">
        <f>MIN(Table3[Square Tolerance])</f>
        <v>0</v>
      </c>
      <c r="O19" s="80" t="s">
        <v>36</v>
      </c>
      <c r="P19" s="136">
        <f>MAX(Table3[Square Tolerance])</f>
        <v>3</v>
      </c>
      <c r="Q19" s="21"/>
    </row>
    <row r="20" spans="2:17">
      <c r="B20" s="77">
        <f>G67</f>
        <v>0.19999999999998863</v>
      </c>
      <c r="C20" s="89">
        <f>G68</f>
        <v>0.5</v>
      </c>
      <c r="D20" s="90">
        <f>G69</f>
        <v>0.20000000000001705</v>
      </c>
      <c r="E20" s="89">
        <f>G70</f>
        <v>1.5999999999999943</v>
      </c>
      <c r="F20" s="89">
        <f>G71</f>
        <v>1.5</v>
      </c>
      <c r="G20" s="89">
        <f>G72</f>
        <v>2.1000000000000227</v>
      </c>
      <c r="H20" s="91">
        <f>G73</f>
        <v>2</v>
      </c>
      <c r="I20" s="91">
        <f>G74</f>
        <v>3</v>
      </c>
      <c r="J20" s="92">
        <f>G75</f>
        <v>2.9000000000000057</v>
      </c>
      <c r="M20" s="76" t="s">
        <v>35</v>
      </c>
      <c r="N20" s="132">
        <f>MEDIAN(Table3[Square Tolerance])</f>
        <v>0.80000000000001137</v>
      </c>
      <c r="O20" s="83"/>
      <c r="P20" s="137"/>
      <c r="Q20" s="21"/>
    </row>
    <row r="21" spans="2:17">
      <c r="B21" s="79">
        <f>G58</f>
        <v>0.60000000000002274</v>
      </c>
      <c r="C21" s="88">
        <f>G59</f>
        <v>0</v>
      </c>
      <c r="D21" s="93">
        <f>G60</f>
        <v>0.30000000000001137</v>
      </c>
      <c r="E21" s="88">
        <f>G61</f>
        <v>0.90000000000000568</v>
      </c>
      <c r="F21" s="88">
        <f>G62</f>
        <v>0.80000000000001137</v>
      </c>
      <c r="G21" s="88">
        <f>G63</f>
        <v>1.6999999999999886</v>
      </c>
      <c r="H21" s="10">
        <f>G64</f>
        <v>0.80000000000001137</v>
      </c>
      <c r="I21" s="10">
        <f>G65</f>
        <v>9.9999999999994316E-2</v>
      </c>
      <c r="J21" s="94">
        <f>G66</f>
        <v>0.69999999999998863</v>
      </c>
      <c r="M21" s="74" t="s">
        <v>37</v>
      </c>
      <c r="N21" s="130">
        <f>AVERAGE(Table3[X Postion Error])</f>
        <v>0.88888888888888884</v>
      </c>
      <c r="O21" s="78"/>
      <c r="P21" s="135"/>
      <c r="Q21" s="21"/>
    </row>
    <row r="22" spans="2:17">
      <c r="B22" s="82">
        <f>G49</f>
        <v>1.6000000000000227</v>
      </c>
      <c r="C22" s="95">
        <f>G50</f>
        <v>1</v>
      </c>
      <c r="D22" s="96">
        <f>G51</f>
        <v>0.59999999999999432</v>
      </c>
      <c r="E22" s="95">
        <f>G52</f>
        <v>0.69999999999998863</v>
      </c>
      <c r="F22" s="95">
        <f>G53</f>
        <v>0.19999999999998863</v>
      </c>
      <c r="G22" s="95">
        <f>G54</f>
        <v>0.5</v>
      </c>
      <c r="H22" s="97">
        <f>G55</f>
        <v>0.69999999999998863</v>
      </c>
      <c r="I22" s="97">
        <f>G56</f>
        <v>1.2000000000000171</v>
      </c>
      <c r="J22" s="98">
        <f>G57</f>
        <v>1.8000000000000114</v>
      </c>
      <c r="M22" s="75" t="s">
        <v>38</v>
      </c>
      <c r="N22" s="131">
        <f>MIN(Table3[X Postion Error])</f>
        <v>0</v>
      </c>
      <c r="O22" s="80" t="s">
        <v>36</v>
      </c>
      <c r="P22" s="136">
        <f>MAX(Table3[X Postion Error])</f>
        <v>4</v>
      </c>
      <c r="Q22" s="21"/>
    </row>
    <row r="23" spans="2:17">
      <c r="B23" s="87"/>
      <c r="C23" s="87"/>
      <c r="D23" s="104"/>
      <c r="E23" s="87"/>
      <c r="F23" s="87"/>
      <c r="G23" s="87"/>
      <c r="H23" s="105"/>
      <c r="I23" s="105"/>
      <c r="J23" s="105"/>
      <c r="M23" s="76" t="s">
        <v>39</v>
      </c>
      <c r="N23" s="132">
        <f>MEDIAN(Table3[X Postion Error])</f>
        <v>1</v>
      </c>
      <c r="O23" s="83"/>
      <c r="P23" s="137"/>
      <c r="Q23" s="21"/>
    </row>
    <row r="24" spans="2:17">
      <c r="B24" s="84" t="s">
        <v>44</v>
      </c>
      <c r="C24" s="85"/>
      <c r="D24" s="106"/>
      <c r="E24" s="85"/>
      <c r="F24" s="85"/>
      <c r="G24" s="85"/>
      <c r="H24" s="107"/>
      <c r="I24" s="107"/>
      <c r="J24" s="108"/>
      <c r="M24" s="75" t="s">
        <v>40</v>
      </c>
      <c r="N24" s="131">
        <f>AVERAGE(Table3[Y Position Error])</f>
        <v>0.7592592592592593</v>
      </c>
      <c r="O24" s="81"/>
      <c r="P24" s="136"/>
      <c r="Q24" s="21"/>
    </row>
    <row r="25" spans="2:17">
      <c r="B25" s="77">
        <f>I67</f>
        <v>3</v>
      </c>
      <c r="C25" s="89">
        <f>I68</f>
        <v>0</v>
      </c>
      <c r="D25" s="90">
        <f>I69</f>
        <v>0</v>
      </c>
      <c r="E25" s="89">
        <f>I70</f>
        <v>0</v>
      </c>
      <c r="F25" s="89">
        <f>I71</f>
        <v>0</v>
      </c>
      <c r="G25" s="89">
        <f>I72</f>
        <v>0</v>
      </c>
      <c r="H25" s="91">
        <f>I73</f>
        <v>0</v>
      </c>
      <c r="I25" s="91">
        <f>I74</f>
        <v>1</v>
      </c>
      <c r="J25" s="92">
        <f>I75</f>
        <v>3</v>
      </c>
      <c r="M25" s="75" t="s">
        <v>41</v>
      </c>
      <c r="N25" s="131">
        <f>MIN(Table3[Y Position Error])</f>
        <v>0</v>
      </c>
      <c r="O25" s="80" t="s">
        <v>36</v>
      </c>
      <c r="P25" s="136">
        <f>MAX(Table3[Y Position Error])</f>
        <v>4</v>
      </c>
      <c r="Q25" s="21"/>
    </row>
    <row r="26" spans="2:17">
      <c r="B26" s="79">
        <f>I67</f>
        <v>3</v>
      </c>
      <c r="C26" s="88">
        <f>I59</f>
        <v>1</v>
      </c>
      <c r="D26" s="93">
        <f>I60</f>
        <v>1</v>
      </c>
      <c r="E26" s="88">
        <f>I61</f>
        <v>0</v>
      </c>
      <c r="F26" s="88">
        <f>I62</f>
        <v>0</v>
      </c>
      <c r="G26" s="88">
        <f>I63</f>
        <v>0</v>
      </c>
      <c r="H26" s="10">
        <f>I64</f>
        <v>1</v>
      </c>
      <c r="I26" s="10">
        <f>I65</f>
        <v>2</v>
      </c>
      <c r="J26" s="94">
        <f>I66</f>
        <v>4</v>
      </c>
      <c r="M26" s="76" t="s">
        <v>42</v>
      </c>
      <c r="N26" s="132">
        <f>-MEDIAN(Table3[Y Position Error])</f>
        <v>-0.5</v>
      </c>
      <c r="O26" s="83"/>
      <c r="P26" s="137"/>
      <c r="Q26" s="21"/>
    </row>
    <row r="27" spans="2:17">
      <c r="B27" s="82">
        <f>I49</f>
        <v>1</v>
      </c>
      <c r="C27" s="95">
        <f>I50</f>
        <v>1</v>
      </c>
      <c r="D27" s="96">
        <f>I51</f>
        <v>1</v>
      </c>
      <c r="E27" s="95">
        <f>I52</f>
        <v>0</v>
      </c>
      <c r="F27" s="95">
        <f>I54</f>
        <v>0</v>
      </c>
      <c r="G27" s="95">
        <f>I54</f>
        <v>0</v>
      </c>
      <c r="H27" s="97">
        <f>I55</f>
        <v>1</v>
      </c>
      <c r="I27" s="97">
        <f>I56</f>
        <v>1</v>
      </c>
      <c r="J27" s="98">
        <f>I57</f>
        <v>1</v>
      </c>
      <c r="Q27" s="21"/>
    </row>
    <row r="28" spans="2:17">
      <c r="B28" s="87"/>
      <c r="C28" s="87"/>
      <c r="D28" s="104"/>
      <c r="E28" s="87"/>
      <c r="F28" s="87"/>
      <c r="G28" s="87"/>
      <c r="H28" s="105"/>
      <c r="I28" s="105"/>
      <c r="J28" s="105"/>
      <c r="Q28" s="21"/>
    </row>
    <row r="29" spans="2:17">
      <c r="B29" s="84" t="s">
        <v>14</v>
      </c>
      <c r="C29" s="85"/>
      <c r="D29" s="106"/>
      <c r="E29" s="85"/>
      <c r="F29" s="85"/>
      <c r="G29" s="85"/>
      <c r="H29" s="107"/>
      <c r="I29" s="107"/>
      <c r="J29" s="108"/>
      <c r="Q29" s="21"/>
    </row>
    <row r="30" spans="2:17">
      <c r="B30" s="77">
        <f>K67</f>
        <v>4</v>
      </c>
      <c r="C30" s="89">
        <f>K68</f>
        <v>1</v>
      </c>
      <c r="D30" s="90">
        <f>K69</f>
        <v>2</v>
      </c>
      <c r="E30" s="89">
        <f>K70</f>
        <v>2</v>
      </c>
      <c r="F30" s="89">
        <f>K71</f>
        <v>2</v>
      </c>
      <c r="G30" s="89">
        <f>K72</f>
        <v>2</v>
      </c>
      <c r="H30" s="91">
        <f>K73</f>
        <v>1</v>
      </c>
      <c r="I30" s="91">
        <f>K74</f>
        <v>0</v>
      </c>
      <c r="J30" s="92">
        <f>K75</f>
        <v>2</v>
      </c>
      <c r="Q30" s="21"/>
    </row>
    <row r="31" spans="2:17">
      <c r="B31" s="79">
        <f>K58</f>
        <v>0</v>
      </c>
      <c r="C31" s="88">
        <f>K59</f>
        <v>0.5</v>
      </c>
      <c r="D31" s="93">
        <f>K60</f>
        <v>0.5</v>
      </c>
      <c r="E31" s="88">
        <f>K61</f>
        <v>0.5</v>
      </c>
      <c r="F31" s="88">
        <f>K62</f>
        <v>0.5</v>
      </c>
      <c r="G31" s="88">
        <f>K63</f>
        <v>0</v>
      </c>
      <c r="H31" s="10">
        <f>K64</f>
        <v>0</v>
      </c>
      <c r="I31" s="10">
        <f>K65</f>
        <v>0.5</v>
      </c>
      <c r="J31" s="94">
        <f>K66</f>
        <v>2</v>
      </c>
      <c r="Q31" s="21"/>
    </row>
    <row r="32" spans="2:17">
      <c r="B32" s="82">
        <f>K49</f>
        <v>0</v>
      </c>
      <c r="C32" s="95">
        <f>K50</f>
        <v>0</v>
      </c>
      <c r="D32" s="96">
        <f>K51</f>
        <v>0</v>
      </c>
      <c r="E32" s="95">
        <f>K52</f>
        <v>0</v>
      </c>
      <c r="F32" s="95">
        <f>K53</f>
        <v>0</v>
      </c>
      <c r="G32" s="95">
        <f>K54</f>
        <v>0</v>
      </c>
      <c r="H32" s="97">
        <f>K55</f>
        <v>0</v>
      </c>
      <c r="I32" s="97">
        <f>K56</f>
        <v>0</v>
      </c>
      <c r="J32" s="98">
        <f>K57</f>
        <v>0</v>
      </c>
      <c r="Q32" s="21"/>
    </row>
    <row r="33" spans="1:17">
      <c r="B33" s="87"/>
      <c r="C33" s="87"/>
      <c r="D33" s="104"/>
      <c r="E33" s="87"/>
      <c r="F33" s="87"/>
      <c r="G33" s="87"/>
      <c r="H33" s="105"/>
      <c r="I33" s="105"/>
      <c r="J33" s="105"/>
    </row>
    <row r="34" spans="1:17">
      <c r="A34" s="109" t="s">
        <v>52</v>
      </c>
      <c r="B34" s="110"/>
      <c r="C34" s="110"/>
      <c r="D34" s="110"/>
      <c r="E34" s="110" t="s">
        <v>53</v>
      </c>
      <c r="F34" s="110"/>
      <c r="G34" s="110"/>
      <c r="H34" s="110"/>
      <c r="I34" s="110"/>
      <c r="J34" s="110"/>
      <c r="K34" s="112"/>
    </row>
    <row r="35" spans="1:17">
      <c r="A35" s="82">
        <f>(SUM(G38:G43)/6)</f>
        <v>4</v>
      </c>
      <c r="B35" s="95"/>
      <c r="C35" s="95">
        <f>(D38+D39+D43+D44+M38+M39+M43+M44)/8</f>
        <v>0.82750000000000057</v>
      </c>
      <c r="D35" s="96"/>
      <c r="E35" s="95">
        <v>6.12</v>
      </c>
      <c r="F35" s="95"/>
      <c r="G35" s="95"/>
      <c r="H35" s="97"/>
      <c r="I35" s="97"/>
      <c r="J35" s="97"/>
      <c r="K35" s="98"/>
    </row>
    <row r="36" spans="1:17">
      <c r="B36" s="87"/>
      <c r="C36" s="87"/>
      <c r="D36" s="104"/>
      <c r="E36" s="87"/>
      <c r="F36" s="87"/>
      <c r="G36" s="87"/>
      <c r="H36" s="105"/>
      <c r="I36" s="105"/>
      <c r="J36" s="105"/>
    </row>
    <row r="37" spans="1:17">
      <c r="A37" s="77" t="s">
        <v>47</v>
      </c>
      <c r="B37" s="138"/>
      <c r="C37" s="74"/>
      <c r="D37" s="104"/>
      <c r="E37" s="84"/>
      <c r="F37" s="85"/>
      <c r="G37" s="139"/>
      <c r="H37" s="105"/>
      <c r="I37" s="77" t="s">
        <v>47</v>
      </c>
      <c r="J37" s="89"/>
      <c r="K37" s="74"/>
      <c r="M37" s="133"/>
      <c r="N37" s="133"/>
      <c r="O37" s="72"/>
      <c r="P37" s="21"/>
      <c r="Q37" s="21"/>
    </row>
    <row r="38" spans="1:17">
      <c r="A38" s="77" t="s">
        <v>48</v>
      </c>
      <c r="B38" s="74">
        <v>92.1</v>
      </c>
      <c r="C38" s="74">
        <f>B38+$E$35</f>
        <v>98.22</v>
      </c>
      <c r="D38" s="146">
        <f>ABS(C38-100)</f>
        <v>1.7800000000000011</v>
      </c>
      <c r="E38" s="77" t="s">
        <v>54</v>
      </c>
      <c r="F38" s="89">
        <v>897</v>
      </c>
      <c r="G38" s="74">
        <f>900-F38</f>
        <v>3</v>
      </c>
      <c r="H38" s="105"/>
      <c r="I38" s="77" t="s">
        <v>48</v>
      </c>
      <c r="J38" s="77">
        <v>93.3</v>
      </c>
      <c r="K38" s="74">
        <f>J38+$E$35</f>
        <v>99.42</v>
      </c>
      <c r="M38" s="146">
        <f>ABS(K38-100)</f>
        <v>0.57999999999999829</v>
      </c>
      <c r="N38" s="72"/>
      <c r="P38" s="21"/>
      <c r="Q38" s="21"/>
    </row>
    <row r="39" spans="1:17">
      <c r="A39" s="82" t="s">
        <v>49</v>
      </c>
      <c r="B39" s="76">
        <v>94.5</v>
      </c>
      <c r="C39" s="76">
        <f>B39+$E$35</f>
        <v>100.62</v>
      </c>
      <c r="D39" s="146">
        <f>ABS(C39-100)</f>
        <v>0.62000000000000455</v>
      </c>
      <c r="E39" s="79" t="s">
        <v>55</v>
      </c>
      <c r="F39" s="88">
        <v>899</v>
      </c>
      <c r="G39" s="75">
        <f t="shared" ref="G39:G40" si="0">900-F39</f>
        <v>1</v>
      </c>
      <c r="H39" s="105"/>
      <c r="I39" s="82" t="s">
        <v>49</v>
      </c>
      <c r="J39" s="82">
        <v>92.1</v>
      </c>
      <c r="K39" s="76">
        <f>J39+$E$35</f>
        <v>98.22</v>
      </c>
      <c r="M39" s="146">
        <f>ABS(K39-100)</f>
        <v>1.7800000000000011</v>
      </c>
      <c r="N39" s="72"/>
      <c r="P39" s="21"/>
      <c r="Q39" s="21"/>
    </row>
    <row r="40" spans="1:17">
      <c r="A40" s="82" t="s">
        <v>50</v>
      </c>
      <c r="B40" s="76">
        <f>ABS(B38-B39)</f>
        <v>2.4000000000000057</v>
      </c>
      <c r="C40" s="76">
        <f>ABS(C38-C39)</f>
        <v>2.4000000000000057</v>
      </c>
      <c r="D40" s="146"/>
      <c r="E40" s="79" t="s">
        <v>56</v>
      </c>
      <c r="F40" s="88">
        <v>898</v>
      </c>
      <c r="G40" s="75">
        <f t="shared" si="0"/>
        <v>2</v>
      </c>
      <c r="H40" s="105"/>
      <c r="I40" s="82" t="s">
        <v>50</v>
      </c>
      <c r="J40" s="82">
        <f>ABS(J38-J39)</f>
        <v>1.2000000000000028</v>
      </c>
      <c r="K40" s="76">
        <f>ABS(K38-K39)</f>
        <v>1.2000000000000028</v>
      </c>
      <c r="M40" s="146"/>
      <c r="N40" s="72"/>
      <c r="P40" s="21"/>
      <c r="Q40" s="21"/>
    </row>
    <row r="41" spans="1:17">
      <c r="A41" s="87"/>
      <c r="B41" s="87"/>
      <c r="C41" s="87"/>
      <c r="D41" s="146"/>
      <c r="E41" s="79" t="s">
        <v>57</v>
      </c>
      <c r="F41" s="88">
        <v>1898</v>
      </c>
      <c r="G41" s="75">
        <f>1905-F41</f>
        <v>7</v>
      </c>
      <c r="H41" s="105"/>
      <c r="I41" s="87"/>
      <c r="J41" s="87"/>
      <c r="K41" s="87"/>
      <c r="M41" s="146"/>
    </row>
    <row r="42" spans="1:17">
      <c r="A42" s="77" t="s">
        <v>51</v>
      </c>
      <c r="B42" s="138"/>
      <c r="C42" s="74"/>
      <c r="D42" s="146"/>
      <c r="E42" s="79" t="s">
        <v>58</v>
      </c>
      <c r="F42" s="88">
        <v>1897</v>
      </c>
      <c r="G42" s="75">
        <f t="shared" ref="G42:G43" si="1">1905-F42</f>
        <v>8</v>
      </c>
      <c r="H42" s="105"/>
      <c r="I42" s="77" t="s">
        <v>51</v>
      </c>
      <c r="J42" s="89"/>
      <c r="K42" s="74"/>
      <c r="M42" s="146"/>
    </row>
    <row r="43" spans="1:17">
      <c r="A43" s="77" t="s">
        <v>48</v>
      </c>
      <c r="B43" s="74">
        <v>93.6</v>
      </c>
      <c r="C43" s="74">
        <f>B43+$E$35</f>
        <v>99.72</v>
      </c>
      <c r="D43" s="146">
        <f>ABS(C43-100)</f>
        <v>0.28000000000000114</v>
      </c>
      <c r="E43" s="82" t="s">
        <v>59</v>
      </c>
      <c r="F43" s="95">
        <v>1902</v>
      </c>
      <c r="G43" s="76">
        <f t="shared" si="1"/>
        <v>3</v>
      </c>
      <c r="H43" s="105"/>
      <c r="I43" s="77" t="s">
        <v>48</v>
      </c>
      <c r="J43" s="77">
        <v>94.1</v>
      </c>
      <c r="K43" s="74">
        <f>J43+$E$35</f>
        <v>100.22</v>
      </c>
      <c r="M43" s="146">
        <f>ABS(K43-100)</f>
        <v>0.21999999999999886</v>
      </c>
    </row>
    <row r="44" spans="1:17">
      <c r="A44" s="82" t="s">
        <v>49</v>
      </c>
      <c r="B44" s="76">
        <v>93.8</v>
      </c>
      <c r="C44" s="76">
        <f>B44+$E$35</f>
        <v>99.92</v>
      </c>
      <c r="D44" s="146">
        <f>ABS(C44-100)</f>
        <v>7.9999999999998295E-2</v>
      </c>
      <c r="E44" s="87"/>
      <c r="H44" s="105"/>
      <c r="I44" s="82" t="s">
        <v>49</v>
      </c>
      <c r="J44" s="82">
        <v>92.6</v>
      </c>
      <c r="K44" s="76">
        <f>J44+$E$35</f>
        <v>98.72</v>
      </c>
      <c r="M44" s="146">
        <f>ABS(K44-100)</f>
        <v>1.2800000000000011</v>
      </c>
    </row>
    <row r="45" spans="1:17">
      <c r="A45" s="82" t="s">
        <v>50</v>
      </c>
      <c r="B45" s="76">
        <f>ABS(B43-B44)</f>
        <v>0.20000000000000284</v>
      </c>
      <c r="C45" s="76">
        <f>ABS(C43-C44)</f>
        <v>0.20000000000000284</v>
      </c>
      <c r="D45" s="104"/>
      <c r="H45" s="105"/>
      <c r="I45" s="82" t="s">
        <v>50</v>
      </c>
      <c r="J45" s="82">
        <f>ABS(J43-J44)</f>
        <v>1.5</v>
      </c>
      <c r="K45" s="76">
        <f>ABS(K43-K44)</f>
        <v>1.5</v>
      </c>
    </row>
    <row r="46" spans="1:17">
      <c r="B46" s="87"/>
      <c r="C46" s="87"/>
      <c r="D46" s="104"/>
      <c r="E46" s="87"/>
      <c r="F46" s="87"/>
      <c r="G46" s="87"/>
      <c r="H46" s="105"/>
      <c r="I46" s="105"/>
      <c r="J46" s="105"/>
    </row>
    <row r="48" spans="1:17" ht="30" customHeight="1">
      <c r="A48" s="39" t="s">
        <v>1</v>
      </c>
      <c r="B48" s="16" t="s">
        <v>2</v>
      </c>
      <c r="C48" s="17" t="s">
        <v>3</v>
      </c>
      <c r="D48" s="18" t="s">
        <v>4</v>
      </c>
      <c r="E48" s="17" t="s">
        <v>5</v>
      </c>
      <c r="F48" s="17" t="s">
        <v>6</v>
      </c>
      <c r="G48" s="18" t="s">
        <v>7</v>
      </c>
      <c r="H48" s="19" t="s">
        <v>11</v>
      </c>
      <c r="I48" s="18" t="s">
        <v>12</v>
      </c>
      <c r="J48" s="19" t="s">
        <v>13</v>
      </c>
      <c r="K48" s="40" t="s">
        <v>14</v>
      </c>
      <c r="P48" s="73"/>
      <c r="Q48" s="21"/>
    </row>
    <row r="49" spans="1:18">
      <c r="A49" s="41">
        <v>1</v>
      </c>
      <c r="B49" s="3">
        <v>99.5</v>
      </c>
      <c r="C49" s="2">
        <v>99.9</v>
      </c>
      <c r="D49" s="151">
        <f t="shared" ref="D49:D75" si="2">ABS(B49-C49)</f>
        <v>0.40000000000000568</v>
      </c>
      <c r="E49" s="2">
        <v>141.30000000000001</v>
      </c>
      <c r="F49" s="2">
        <v>139.69999999999999</v>
      </c>
      <c r="G49" s="154">
        <f t="shared" ref="G49:G75" si="3">ABS(E49-F49)</f>
        <v>1.6000000000000227</v>
      </c>
      <c r="H49" s="9">
        <v>849</v>
      </c>
      <c r="I49" s="120">
        <f>ABS(H49-850)</f>
        <v>1</v>
      </c>
      <c r="J49" s="124">
        <v>0</v>
      </c>
      <c r="K49" s="59">
        <f>ABS(J49-0)</f>
        <v>0</v>
      </c>
      <c r="P49" s="73"/>
      <c r="Q49" s="21"/>
    </row>
    <row r="50" spans="1:18">
      <c r="A50" s="41">
        <v>2</v>
      </c>
      <c r="B50" s="3">
        <v>99.8</v>
      </c>
      <c r="C50" s="2">
        <v>100</v>
      </c>
      <c r="D50" s="151">
        <f t="shared" si="2"/>
        <v>0.20000000000000284</v>
      </c>
      <c r="E50" s="2">
        <v>141.4</v>
      </c>
      <c r="F50" s="2">
        <v>140.4</v>
      </c>
      <c r="G50" s="154">
        <f t="shared" si="3"/>
        <v>1</v>
      </c>
      <c r="H50" s="9">
        <v>599</v>
      </c>
      <c r="I50" s="121">
        <f>ABS(H50-600)</f>
        <v>1</v>
      </c>
      <c r="J50" s="118">
        <v>0</v>
      </c>
      <c r="K50" s="59">
        <f t="shared" ref="K50:K57" si="4">ABS(J50-0)</f>
        <v>0</v>
      </c>
      <c r="P50" s="73"/>
      <c r="Q50" s="21"/>
      <c r="R50" s="73"/>
    </row>
    <row r="51" spans="1:18">
      <c r="A51" s="41">
        <v>3</v>
      </c>
      <c r="B51" s="3">
        <v>99.4</v>
      </c>
      <c r="C51" s="2">
        <v>100.4</v>
      </c>
      <c r="D51" s="151">
        <f t="shared" si="2"/>
        <v>1</v>
      </c>
      <c r="E51" s="2">
        <v>141.1</v>
      </c>
      <c r="F51" s="2">
        <v>140.5</v>
      </c>
      <c r="G51" s="154">
        <f t="shared" si="3"/>
        <v>0.59999999999999432</v>
      </c>
      <c r="H51" s="9">
        <v>349</v>
      </c>
      <c r="I51" s="121">
        <f>ABS(H51-350)</f>
        <v>1</v>
      </c>
      <c r="J51" s="118">
        <v>0</v>
      </c>
      <c r="K51" s="59">
        <f t="shared" si="4"/>
        <v>0</v>
      </c>
      <c r="P51" s="73"/>
      <c r="Q51" s="21"/>
    </row>
    <row r="52" spans="1:18">
      <c r="A52" s="41">
        <v>4</v>
      </c>
      <c r="B52" s="3">
        <v>99.7</v>
      </c>
      <c r="C52" s="2">
        <v>100</v>
      </c>
      <c r="D52" s="151">
        <f t="shared" si="2"/>
        <v>0.29999999999999716</v>
      </c>
      <c r="E52" s="2">
        <v>141.19999999999999</v>
      </c>
      <c r="F52" s="2">
        <v>140.5</v>
      </c>
      <c r="G52" s="154">
        <f t="shared" si="3"/>
        <v>0.69999999999998863</v>
      </c>
      <c r="H52" s="9">
        <v>100</v>
      </c>
      <c r="I52" s="121">
        <f>ABS(H52-100)</f>
        <v>0</v>
      </c>
      <c r="J52" s="118">
        <v>0</v>
      </c>
      <c r="K52" s="59">
        <f t="shared" si="4"/>
        <v>0</v>
      </c>
      <c r="P52" s="73"/>
      <c r="Q52" s="21"/>
    </row>
    <row r="53" spans="1:18">
      <c r="A53" s="41">
        <v>5</v>
      </c>
      <c r="B53" s="3">
        <v>100</v>
      </c>
      <c r="C53" s="2">
        <v>100</v>
      </c>
      <c r="D53" s="151">
        <f t="shared" si="2"/>
        <v>0</v>
      </c>
      <c r="E53" s="2">
        <v>141.1</v>
      </c>
      <c r="F53" s="2">
        <v>140.9</v>
      </c>
      <c r="G53" s="154">
        <f t="shared" si="3"/>
        <v>0.19999999999998863</v>
      </c>
      <c r="H53" s="9">
        <v>0</v>
      </c>
      <c r="I53" s="121">
        <v>0</v>
      </c>
      <c r="J53" s="118">
        <v>0</v>
      </c>
      <c r="K53" s="59">
        <v>0</v>
      </c>
      <c r="P53" s="73"/>
      <c r="Q53" s="21"/>
    </row>
    <row r="54" spans="1:18">
      <c r="A54" s="41">
        <v>6</v>
      </c>
      <c r="B54" s="3">
        <v>99.8</v>
      </c>
      <c r="C54" s="2">
        <v>100.1</v>
      </c>
      <c r="D54" s="151">
        <f t="shared" si="2"/>
        <v>0.29999999999999716</v>
      </c>
      <c r="E54" s="2">
        <v>140.5</v>
      </c>
      <c r="F54" s="2">
        <v>141</v>
      </c>
      <c r="G54" s="154">
        <f t="shared" si="3"/>
        <v>0.5</v>
      </c>
      <c r="H54" s="9">
        <v>100</v>
      </c>
      <c r="I54" s="121">
        <f>ABS(H54-100)</f>
        <v>0</v>
      </c>
      <c r="J54" s="118">
        <v>0</v>
      </c>
      <c r="K54" s="59">
        <f t="shared" si="4"/>
        <v>0</v>
      </c>
      <c r="P54" s="73"/>
      <c r="Q54" s="21"/>
    </row>
    <row r="55" spans="1:18">
      <c r="A55" s="41">
        <v>7</v>
      </c>
      <c r="B55" s="3">
        <v>100.1</v>
      </c>
      <c r="C55" s="2">
        <v>99.9</v>
      </c>
      <c r="D55" s="151">
        <f t="shared" si="2"/>
        <v>0.19999999999998863</v>
      </c>
      <c r="E55" s="2">
        <v>140.4</v>
      </c>
      <c r="F55" s="2">
        <v>141.1</v>
      </c>
      <c r="G55" s="154">
        <f t="shared" si="3"/>
        <v>0.69999999999998863</v>
      </c>
      <c r="H55" s="9">
        <v>349</v>
      </c>
      <c r="I55" s="121">
        <f>ABS(H55-350)</f>
        <v>1</v>
      </c>
      <c r="J55" s="118">
        <v>0</v>
      </c>
      <c r="K55" s="59">
        <f t="shared" si="4"/>
        <v>0</v>
      </c>
      <c r="P55" s="73"/>
      <c r="Q55" s="21"/>
    </row>
    <row r="56" spans="1:18">
      <c r="A56" s="41">
        <v>8</v>
      </c>
      <c r="B56" s="3">
        <v>100</v>
      </c>
      <c r="C56" s="2">
        <v>99.8</v>
      </c>
      <c r="D56" s="151">
        <f t="shared" si="2"/>
        <v>0.20000000000000284</v>
      </c>
      <c r="E56" s="2">
        <v>140.19999999999999</v>
      </c>
      <c r="F56" s="2">
        <v>141.4</v>
      </c>
      <c r="G56" s="154">
        <f t="shared" si="3"/>
        <v>1.2000000000000171</v>
      </c>
      <c r="H56" s="9">
        <v>599</v>
      </c>
      <c r="I56" s="121">
        <f>ABS(H56-600)</f>
        <v>1</v>
      </c>
      <c r="J56" s="118">
        <v>0</v>
      </c>
      <c r="K56" s="59">
        <f t="shared" si="4"/>
        <v>0</v>
      </c>
      <c r="P56" s="73"/>
      <c r="Q56" s="21"/>
    </row>
    <row r="57" spans="1:18">
      <c r="A57" s="42">
        <v>9</v>
      </c>
      <c r="B57" s="5">
        <v>99.5</v>
      </c>
      <c r="C57" s="1">
        <v>99.6</v>
      </c>
      <c r="D57" s="152">
        <f t="shared" si="2"/>
        <v>9.9999999999994316E-2</v>
      </c>
      <c r="E57" s="1">
        <v>140</v>
      </c>
      <c r="F57" s="1">
        <v>138.19999999999999</v>
      </c>
      <c r="G57" s="155">
        <f t="shared" si="3"/>
        <v>1.8000000000000114</v>
      </c>
      <c r="H57" s="11">
        <v>849</v>
      </c>
      <c r="I57" s="122">
        <f>ABS(H57-850)</f>
        <v>1</v>
      </c>
      <c r="J57" s="119">
        <v>0</v>
      </c>
      <c r="K57" s="61">
        <f t="shared" si="4"/>
        <v>0</v>
      </c>
      <c r="P57" s="73"/>
      <c r="Q57" s="21"/>
    </row>
    <row r="58" spans="1:18">
      <c r="A58" s="41">
        <v>10</v>
      </c>
      <c r="B58" s="3">
        <v>99.4</v>
      </c>
      <c r="C58" s="2">
        <v>100.1</v>
      </c>
      <c r="D58" s="151">
        <f t="shared" si="2"/>
        <v>0.69999999999998863</v>
      </c>
      <c r="E58" s="2">
        <v>140.80000000000001</v>
      </c>
      <c r="F58" s="2">
        <v>140.19999999999999</v>
      </c>
      <c r="G58" s="154">
        <f t="shared" si="3"/>
        <v>0.60000000000002274</v>
      </c>
      <c r="H58" s="9">
        <v>848</v>
      </c>
      <c r="I58" s="121">
        <f>ABS(H58-850)</f>
        <v>2</v>
      </c>
      <c r="J58" s="125">
        <v>296</v>
      </c>
      <c r="K58" s="62">
        <f>ABS(J58-296)</f>
        <v>0</v>
      </c>
      <c r="P58" s="73"/>
      <c r="Q58" s="21"/>
    </row>
    <row r="59" spans="1:18">
      <c r="A59" s="41">
        <v>11</v>
      </c>
      <c r="B59" s="3">
        <v>99.2</v>
      </c>
      <c r="C59" s="2">
        <v>99.9</v>
      </c>
      <c r="D59" s="151">
        <f t="shared" si="2"/>
        <v>0.70000000000000284</v>
      </c>
      <c r="E59" s="2">
        <v>140.19999999999999</v>
      </c>
      <c r="F59" s="2">
        <v>140.19999999999999</v>
      </c>
      <c r="G59" s="154">
        <f t="shared" si="3"/>
        <v>0</v>
      </c>
      <c r="H59" s="9">
        <v>599</v>
      </c>
      <c r="I59" s="121">
        <f>ABS(H59-600)</f>
        <v>1</v>
      </c>
      <c r="J59" s="126">
        <v>295.5</v>
      </c>
      <c r="K59" s="70">
        <f t="shared" ref="K59:K66" si="5">ABS(J59-296)</f>
        <v>0.5</v>
      </c>
      <c r="P59" s="73"/>
      <c r="Q59" s="21"/>
    </row>
    <row r="60" spans="1:18">
      <c r="A60" s="41">
        <v>12</v>
      </c>
      <c r="B60" s="3">
        <v>99.2</v>
      </c>
      <c r="C60" s="2">
        <v>100</v>
      </c>
      <c r="D60" s="151">
        <f t="shared" si="2"/>
        <v>0.79999999999999716</v>
      </c>
      <c r="E60" s="2">
        <v>140.5</v>
      </c>
      <c r="F60" s="2">
        <v>140.19999999999999</v>
      </c>
      <c r="G60" s="154">
        <f t="shared" si="3"/>
        <v>0.30000000000001137</v>
      </c>
      <c r="H60" s="9">
        <v>349</v>
      </c>
      <c r="I60" s="121">
        <f>ABS(H60-350)</f>
        <v>1</v>
      </c>
      <c r="J60" s="126">
        <v>295.5</v>
      </c>
      <c r="K60" s="70">
        <f t="shared" si="5"/>
        <v>0.5</v>
      </c>
      <c r="P60" s="73"/>
      <c r="Q60" s="21"/>
    </row>
    <row r="61" spans="1:18">
      <c r="A61" s="41">
        <v>13</v>
      </c>
      <c r="B61" s="3">
        <v>99.5</v>
      </c>
      <c r="C61" s="2">
        <v>99.6</v>
      </c>
      <c r="D61" s="151">
        <f t="shared" si="2"/>
        <v>9.9999999999994316E-2</v>
      </c>
      <c r="E61" s="2">
        <v>140.6</v>
      </c>
      <c r="F61" s="2">
        <v>139.69999999999999</v>
      </c>
      <c r="G61" s="154">
        <f t="shared" si="3"/>
        <v>0.90000000000000568</v>
      </c>
      <c r="H61" s="9">
        <v>100</v>
      </c>
      <c r="I61" s="121">
        <f>ABS(H61-100)</f>
        <v>0</v>
      </c>
      <c r="J61" s="126">
        <v>295.5</v>
      </c>
      <c r="K61" s="70">
        <f t="shared" si="5"/>
        <v>0.5</v>
      </c>
    </row>
    <row r="62" spans="1:18">
      <c r="A62" s="41">
        <v>14</v>
      </c>
      <c r="B62" s="3">
        <v>99.7</v>
      </c>
      <c r="C62" s="2">
        <v>99.5</v>
      </c>
      <c r="D62" s="151">
        <f t="shared" si="2"/>
        <v>0.20000000000000284</v>
      </c>
      <c r="E62" s="2">
        <v>140.5</v>
      </c>
      <c r="F62" s="2">
        <v>139.69999999999999</v>
      </c>
      <c r="G62" s="154">
        <f t="shared" si="3"/>
        <v>0.80000000000001137</v>
      </c>
      <c r="H62" s="9">
        <v>0</v>
      </c>
      <c r="I62" s="121">
        <v>0</v>
      </c>
      <c r="J62" s="126">
        <v>295.5</v>
      </c>
      <c r="K62" s="70">
        <f t="shared" si="5"/>
        <v>0.5</v>
      </c>
    </row>
    <row r="63" spans="1:18">
      <c r="A63" s="41">
        <v>15</v>
      </c>
      <c r="B63" s="3">
        <v>99.7</v>
      </c>
      <c r="C63" s="2">
        <v>99.1</v>
      </c>
      <c r="D63" s="151">
        <f t="shared" si="2"/>
        <v>0.60000000000000853</v>
      </c>
      <c r="E63" s="2">
        <v>140.69999999999999</v>
      </c>
      <c r="F63" s="2">
        <v>139</v>
      </c>
      <c r="G63" s="154">
        <f t="shared" si="3"/>
        <v>1.6999999999999886</v>
      </c>
      <c r="H63" s="9">
        <v>100</v>
      </c>
      <c r="I63" s="121">
        <f>ABS(H63-100)</f>
        <v>0</v>
      </c>
      <c r="J63" s="126">
        <v>296</v>
      </c>
      <c r="K63" s="70">
        <f t="shared" si="5"/>
        <v>0</v>
      </c>
    </row>
    <row r="64" spans="1:18">
      <c r="A64" s="41">
        <v>16</v>
      </c>
      <c r="B64" s="3">
        <v>99.6</v>
      </c>
      <c r="C64" s="2">
        <v>99.4</v>
      </c>
      <c r="D64" s="151">
        <f t="shared" si="2"/>
        <v>0.19999999999998863</v>
      </c>
      <c r="E64" s="2">
        <v>140.4</v>
      </c>
      <c r="F64" s="2">
        <v>139.6</v>
      </c>
      <c r="G64" s="154">
        <f t="shared" si="3"/>
        <v>0.80000000000001137</v>
      </c>
      <c r="H64" s="9">
        <v>349</v>
      </c>
      <c r="I64" s="121">
        <f>ABS(H64-350)</f>
        <v>1</v>
      </c>
      <c r="J64" s="126">
        <v>296</v>
      </c>
      <c r="K64" s="70">
        <f t="shared" si="5"/>
        <v>0</v>
      </c>
    </row>
    <row r="65" spans="1:22">
      <c r="A65" s="41">
        <v>17</v>
      </c>
      <c r="B65" s="3">
        <v>100</v>
      </c>
      <c r="C65" s="2">
        <v>99.2</v>
      </c>
      <c r="D65" s="151">
        <f t="shared" si="2"/>
        <v>0.79999999999999716</v>
      </c>
      <c r="E65" s="2">
        <v>140.19999999999999</v>
      </c>
      <c r="F65" s="2">
        <v>140.1</v>
      </c>
      <c r="G65" s="154">
        <f t="shared" si="3"/>
        <v>9.9999999999994316E-2</v>
      </c>
      <c r="H65" s="9">
        <v>598</v>
      </c>
      <c r="I65" s="121">
        <f>ABS(H65-600)</f>
        <v>2</v>
      </c>
      <c r="J65" s="126">
        <v>296.5</v>
      </c>
      <c r="K65" s="70">
        <f t="shared" si="5"/>
        <v>0.5</v>
      </c>
    </row>
    <row r="66" spans="1:22">
      <c r="A66" s="42">
        <v>18</v>
      </c>
      <c r="B66" s="5">
        <v>99.5</v>
      </c>
      <c r="C66" s="1">
        <v>98.7</v>
      </c>
      <c r="D66" s="152">
        <f t="shared" si="2"/>
        <v>0.79999999999999716</v>
      </c>
      <c r="E66" s="1">
        <v>139.5</v>
      </c>
      <c r="F66" s="1">
        <v>140.19999999999999</v>
      </c>
      <c r="G66" s="155">
        <f t="shared" si="3"/>
        <v>0.69999999999998863</v>
      </c>
      <c r="H66" s="11">
        <v>846</v>
      </c>
      <c r="I66" s="122">
        <f>ABS(H66-850)</f>
        <v>4</v>
      </c>
      <c r="J66" s="127">
        <v>298</v>
      </c>
      <c r="K66" s="59">
        <f t="shared" si="5"/>
        <v>2</v>
      </c>
    </row>
    <row r="67" spans="1:22">
      <c r="A67" s="41">
        <v>19</v>
      </c>
      <c r="B67" s="3">
        <v>97.5</v>
      </c>
      <c r="C67" s="2">
        <v>101.4</v>
      </c>
      <c r="D67" s="151">
        <f t="shared" si="2"/>
        <v>3.9000000000000057</v>
      </c>
      <c r="E67" s="2">
        <v>139.80000000000001</v>
      </c>
      <c r="F67" s="2">
        <v>140</v>
      </c>
      <c r="G67" s="154">
        <f t="shared" si="3"/>
        <v>0.19999999999998863</v>
      </c>
      <c r="H67" s="9">
        <v>847</v>
      </c>
      <c r="I67" s="121">
        <f>ABS(H67-850)</f>
        <v>3</v>
      </c>
      <c r="J67" s="125">
        <v>656</v>
      </c>
      <c r="K67" s="62">
        <f t="shared" ref="K67:K75" si="6">ABS(J67-(652+K49))</f>
        <v>4</v>
      </c>
    </row>
    <row r="68" spans="1:22">
      <c r="A68" s="41">
        <v>20</v>
      </c>
      <c r="B68" s="3">
        <v>98.4</v>
      </c>
      <c r="C68" s="2">
        <v>99.5</v>
      </c>
      <c r="D68" s="151">
        <f t="shared" si="2"/>
        <v>1.0999999999999943</v>
      </c>
      <c r="E68" s="2">
        <v>139.69999999999999</v>
      </c>
      <c r="F68" s="2">
        <v>139.19999999999999</v>
      </c>
      <c r="G68" s="154">
        <f t="shared" si="3"/>
        <v>0.5</v>
      </c>
      <c r="H68" s="9">
        <v>600</v>
      </c>
      <c r="I68" s="121">
        <f>ABS(H68-600)</f>
        <v>0</v>
      </c>
      <c r="J68" s="126">
        <v>651</v>
      </c>
      <c r="K68" s="59">
        <f t="shared" si="6"/>
        <v>1</v>
      </c>
      <c r="S68" s="87"/>
      <c r="T68" s="87"/>
      <c r="U68" s="87"/>
      <c r="V68" s="87"/>
    </row>
    <row r="69" spans="1:22">
      <c r="A69" s="41">
        <v>21</v>
      </c>
      <c r="B69" s="3">
        <v>98.8</v>
      </c>
      <c r="C69" s="2">
        <v>98.8</v>
      </c>
      <c r="D69" s="151">
        <f t="shared" si="2"/>
        <v>0</v>
      </c>
      <c r="E69" s="2">
        <v>138.80000000000001</v>
      </c>
      <c r="F69" s="2">
        <v>138.6</v>
      </c>
      <c r="G69" s="154">
        <f t="shared" si="3"/>
        <v>0.20000000000001705</v>
      </c>
      <c r="H69" s="9">
        <v>350</v>
      </c>
      <c r="I69" s="121">
        <f>ABS(H69-350)</f>
        <v>0</v>
      </c>
      <c r="J69" s="126">
        <v>650</v>
      </c>
      <c r="K69" s="59">
        <f t="shared" si="6"/>
        <v>2</v>
      </c>
      <c r="S69" s="87"/>
      <c r="T69" s="87"/>
      <c r="U69" s="87"/>
      <c r="V69" s="87"/>
    </row>
    <row r="70" spans="1:22">
      <c r="A70" s="41">
        <v>22</v>
      </c>
      <c r="B70" s="3">
        <v>99.2</v>
      </c>
      <c r="C70" s="2">
        <v>98</v>
      </c>
      <c r="D70" s="151">
        <f t="shared" si="2"/>
        <v>1.2000000000000028</v>
      </c>
      <c r="E70" s="2">
        <v>139.19999999999999</v>
      </c>
      <c r="F70" s="2">
        <v>137.6</v>
      </c>
      <c r="G70" s="154">
        <f t="shared" si="3"/>
        <v>1.5999999999999943</v>
      </c>
      <c r="H70" s="9">
        <v>100</v>
      </c>
      <c r="I70" s="121">
        <f>ABS(H70-100)</f>
        <v>0</v>
      </c>
      <c r="J70" s="126">
        <v>650</v>
      </c>
      <c r="K70" s="59">
        <f t="shared" si="6"/>
        <v>2</v>
      </c>
      <c r="S70" s="87"/>
      <c r="T70" s="87"/>
      <c r="U70" s="87"/>
      <c r="V70" s="87"/>
    </row>
    <row r="71" spans="1:22">
      <c r="A71" s="41">
        <v>23</v>
      </c>
      <c r="B71" s="3">
        <v>99</v>
      </c>
      <c r="C71" s="2">
        <v>98</v>
      </c>
      <c r="D71" s="151">
        <f t="shared" si="2"/>
        <v>1</v>
      </c>
      <c r="E71" s="2">
        <v>138.80000000000001</v>
      </c>
      <c r="F71" s="2">
        <v>137.30000000000001</v>
      </c>
      <c r="G71" s="154">
        <f t="shared" si="3"/>
        <v>1.5</v>
      </c>
      <c r="H71" s="9">
        <v>0</v>
      </c>
      <c r="I71" s="121">
        <v>0</v>
      </c>
      <c r="J71" s="126">
        <v>650</v>
      </c>
      <c r="K71" s="59">
        <f t="shared" si="6"/>
        <v>2</v>
      </c>
      <c r="S71" s="87"/>
      <c r="T71" s="87"/>
      <c r="U71" s="87"/>
      <c r="V71" s="87"/>
    </row>
    <row r="72" spans="1:22">
      <c r="A72" s="41">
        <v>24</v>
      </c>
      <c r="B72" s="3">
        <v>98.9</v>
      </c>
      <c r="C72" s="2">
        <v>97.5</v>
      </c>
      <c r="D72" s="151">
        <f t="shared" si="2"/>
        <v>1.4000000000000057</v>
      </c>
      <c r="E72" s="2">
        <v>138.80000000000001</v>
      </c>
      <c r="F72" s="2">
        <v>136.69999999999999</v>
      </c>
      <c r="G72" s="154">
        <f t="shared" si="3"/>
        <v>2.1000000000000227</v>
      </c>
      <c r="H72" s="9">
        <v>100</v>
      </c>
      <c r="I72" s="121">
        <f>ABS(H72-100)</f>
        <v>0</v>
      </c>
      <c r="J72" s="126">
        <v>650</v>
      </c>
      <c r="K72" s="59">
        <f t="shared" si="6"/>
        <v>2</v>
      </c>
      <c r="S72" s="87"/>
      <c r="T72" s="87"/>
      <c r="U72" s="87"/>
      <c r="V72" s="87"/>
    </row>
    <row r="73" spans="1:22">
      <c r="A73" s="41">
        <v>25</v>
      </c>
      <c r="B73" s="3">
        <v>99</v>
      </c>
      <c r="C73" s="2">
        <v>97.8</v>
      </c>
      <c r="D73" s="151">
        <f t="shared" si="2"/>
        <v>1.2000000000000028</v>
      </c>
      <c r="E73" s="2">
        <v>139</v>
      </c>
      <c r="F73" s="2">
        <v>137</v>
      </c>
      <c r="G73" s="154">
        <f t="shared" si="3"/>
        <v>2</v>
      </c>
      <c r="H73" s="9">
        <v>350</v>
      </c>
      <c r="I73" s="121">
        <f>ABS(H73-350)</f>
        <v>0</v>
      </c>
      <c r="J73" s="126">
        <v>651</v>
      </c>
      <c r="K73" s="59">
        <f t="shared" si="6"/>
        <v>1</v>
      </c>
    </row>
    <row r="74" spans="1:22">
      <c r="A74" s="41">
        <v>26</v>
      </c>
      <c r="B74" s="3">
        <v>99.4</v>
      </c>
      <c r="C74" s="2">
        <v>97.9</v>
      </c>
      <c r="D74" s="151">
        <f t="shared" si="2"/>
        <v>1.5</v>
      </c>
      <c r="E74" s="2">
        <v>140</v>
      </c>
      <c r="F74" s="2">
        <v>137</v>
      </c>
      <c r="G74" s="154">
        <f t="shared" si="3"/>
        <v>3</v>
      </c>
      <c r="H74" s="9">
        <v>599</v>
      </c>
      <c r="I74" s="121">
        <f>ABS(H74-600)</f>
        <v>1</v>
      </c>
      <c r="J74" s="126">
        <v>652</v>
      </c>
      <c r="K74" s="59">
        <f t="shared" si="6"/>
        <v>0</v>
      </c>
    </row>
    <row r="75" spans="1:22" ht="15.75" thickBot="1">
      <c r="A75" s="43">
        <v>27</v>
      </c>
      <c r="B75" s="44">
        <v>99.3</v>
      </c>
      <c r="C75" s="45">
        <v>97.8</v>
      </c>
      <c r="D75" s="153">
        <f t="shared" si="2"/>
        <v>1.5</v>
      </c>
      <c r="E75" s="45">
        <v>140.1</v>
      </c>
      <c r="F75" s="45">
        <v>137.19999999999999</v>
      </c>
      <c r="G75" s="156">
        <f t="shared" si="3"/>
        <v>2.9000000000000057</v>
      </c>
      <c r="H75" s="46">
        <v>847</v>
      </c>
      <c r="I75" s="123">
        <f>ABS(H75-850)</f>
        <v>3</v>
      </c>
      <c r="J75" s="128">
        <v>654</v>
      </c>
      <c r="K75" s="59">
        <f t="shared" si="6"/>
        <v>2</v>
      </c>
    </row>
    <row r="78" spans="1:22">
      <c r="A78" s="141" t="s">
        <v>20</v>
      </c>
      <c r="B78" s="110"/>
      <c r="C78" s="111" t="s">
        <v>19</v>
      </c>
      <c r="D78" s="142"/>
      <c r="E78" s="143" t="s">
        <v>61</v>
      </c>
      <c r="F78" s="143"/>
      <c r="G78" s="143"/>
      <c r="H78" s="110"/>
      <c r="I78" s="110"/>
      <c r="J78" s="110"/>
      <c r="K78" s="112"/>
      <c r="N78" s="21"/>
      <c r="P78" s="21"/>
    </row>
    <row r="79" spans="1:22">
      <c r="A79" s="144" t="s">
        <v>15</v>
      </c>
      <c r="B79" s="115"/>
      <c r="C79" s="115">
        <v>134</v>
      </c>
      <c r="D79" s="115"/>
      <c r="E79" s="115">
        <v>10.577202</v>
      </c>
      <c r="F79" s="115"/>
      <c r="G79" s="115"/>
      <c r="H79" s="115"/>
      <c r="I79" s="115"/>
      <c r="J79" s="115"/>
      <c r="K79" s="145"/>
      <c r="N79" s="21"/>
      <c r="P79" s="21"/>
    </row>
    <row r="81" spans="2:17">
      <c r="B81" s="99" t="s">
        <v>43</v>
      </c>
      <c r="C81" s="100"/>
      <c r="D81" s="101"/>
      <c r="E81" s="100"/>
      <c r="F81" s="100"/>
      <c r="G81" s="100"/>
      <c r="H81" s="102"/>
      <c r="I81" s="102"/>
      <c r="J81" s="103"/>
      <c r="M81" s="84" t="s">
        <v>63</v>
      </c>
      <c r="N81" s="129"/>
      <c r="O81" s="86"/>
      <c r="P81" s="134"/>
      <c r="Q81" s="21"/>
    </row>
    <row r="82" spans="2:17">
      <c r="B82" s="77">
        <f>D134</f>
        <v>9.9999999999994316E-2</v>
      </c>
      <c r="C82" s="89">
        <f>D135</f>
        <v>0.79999999999999716</v>
      </c>
      <c r="D82" s="90">
        <f>D136</f>
        <v>2</v>
      </c>
      <c r="E82" s="89">
        <f>D137</f>
        <v>2.5999999999999943</v>
      </c>
      <c r="F82" s="89">
        <f>D138</f>
        <v>2.7999999999999972</v>
      </c>
      <c r="G82" s="89">
        <f>D139</f>
        <v>2.7000000000000028</v>
      </c>
      <c r="H82" s="91">
        <f>D140</f>
        <v>2.7000000000000028</v>
      </c>
      <c r="I82" s="91">
        <f>D141</f>
        <v>2.2000000000000028</v>
      </c>
      <c r="J82" s="92">
        <f>D142</f>
        <v>1.4000000000000057</v>
      </c>
      <c r="M82" s="74" t="s">
        <v>30</v>
      </c>
      <c r="N82" s="130">
        <f>AVERAGE(Table3672[X-Y Tolerance])</f>
        <v>0.97777777777777741</v>
      </c>
      <c r="O82" s="78"/>
      <c r="P82" s="135"/>
      <c r="Q82" s="21"/>
    </row>
    <row r="83" spans="2:17">
      <c r="B83" s="79">
        <f>D125</f>
        <v>0.90000000000000568</v>
      </c>
      <c r="C83" s="88">
        <f>D126</f>
        <v>0.29999999999999716</v>
      </c>
      <c r="D83" s="93">
        <f>D127</f>
        <v>0.70000000000000284</v>
      </c>
      <c r="E83" s="88">
        <f>D128</f>
        <v>0.59999999999999432</v>
      </c>
      <c r="F83" s="88">
        <f>D129</f>
        <v>0.59999999999999432</v>
      </c>
      <c r="G83" s="88">
        <f>D130</f>
        <v>0.59999999999999432</v>
      </c>
      <c r="H83" s="10">
        <f>D131</f>
        <v>0.79999999999999716</v>
      </c>
      <c r="I83" s="10">
        <f>D132</f>
        <v>1.5</v>
      </c>
      <c r="J83" s="94">
        <f>D133</f>
        <v>0.30000000000001137</v>
      </c>
      <c r="M83" s="75" t="s">
        <v>31</v>
      </c>
      <c r="N83" s="131">
        <f>MIN(Table3672[X-Y Tolerance])</f>
        <v>9.9999999999994316E-2</v>
      </c>
      <c r="O83" s="80" t="s">
        <v>36</v>
      </c>
      <c r="P83" s="136">
        <f>MAX(Table3672[X-Y Tolerance])</f>
        <v>2.7999999999999972</v>
      </c>
      <c r="Q83" s="21"/>
    </row>
    <row r="84" spans="2:17">
      <c r="B84" s="82">
        <f>D116</f>
        <v>0.5</v>
      </c>
      <c r="C84" s="95">
        <f>D117</f>
        <v>9.9999999999994316E-2</v>
      </c>
      <c r="D84" s="96">
        <f>D118</f>
        <v>0.20000000000000284</v>
      </c>
      <c r="E84" s="95">
        <f>D119</f>
        <v>0.20000000000000284</v>
      </c>
      <c r="F84" s="95">
        <f>D120</f>
        <v>0.29999999999999716</v>
      </c>
      <c r="G84" s="95">
        <f>D121</f>
        <v>0.5</v>
      </c>
      <c r="H84" s="97">
        <f>D122</f>
        <v>9.9999999999994316E-2</v>
      </c>
      <c r="I84" s="97">
        <f>D123</f>
        <v>0.40000000000000568</v>
      </c>
      <c r="J84" s="98">
        <f>D124</f>
        <v>0.5</v>
      </c>
      <c r="M84" s="76" t="s">
        <v>32</v>
      </c>
      <c r="N84" s="132">
        <f>MEDIAN(Table3672[X-Y Tolerance])</f>
        <v>0.59999999999999432</v>
      </c>
      <c r="O84" s="83"/>
      <c r="P84" s="137"/>
      <c r="Q84" s="21"/>
    </row>
    <row r="85" spans="2:17">
      <c r="B85" s="87"/>
      <c r="C85" s="87"/>
      <c r="D85" s="104"/>
      <c r="E85" s="87"/>
      <c r="F85" s="87"/>
      <c r="G85" s="87"/>
      <c r="H85" s="105"/>
      <c r="I85" s="105"/>
      <c r="J85" s="105"/>
      <c r="M85" s="74" t="s">
        <v>33</v>
      </c>
      <c r="N85" s="130">
        <f>AVERAGE(Table3672[Square Tolerance])</f>
        <v>0.88148148148148187</v>
      </c>
      <c r="O85" s="78"/>
      <c r="P85" s="135"/>
      <c r="Q85" s="21"/>
    </row>
    <row r="86" spans="2:17">
      <c r="B86" s="84" t="s">
        <v>7</v>
      </c>
      <c r="C86" s="85"/>
      <c r="D86" s="106"/>
      <c r="E86" s="85"/>
      <c r="F86" s="85"/>
      <c r="G86" s="85"/>
      <c r="H86" s="107"/>
      <c r="I86" s="107"/>
      <c r="J86" s="108"/>
      <c r="M86" s="75" t="s">
        <v>34</v>
      </c>
      <c r="N86" s="131">
        <f>MIN(Table3672[Square Tolerance])</f>
        <v>0.10000000000002274</v>
      </c>
      <c r="O86" s="80" t="s">
        <v>36</v>
      </c>
      <c r="P86" s="136">
        <f>MAX(Table3672[Square Tolerance])</f>
        <v>4.9000000000000057</v>
      </c>
      <c r="Q86" s="21"/>
    </row>
    <row r="87" spans="2:17">
      <c r="B87" s="77">
        <f>G134</f>
        <v>1.2000000000000171</v>
      </c>
      <c r="C87" s="89">
        <f>G135</f>
        <v>0.80000000000001137</v>
      </c>
      <c r="D87" s="90">
        <f>G136</f>
        <v>1</v>
      </c>
      <c r="E87" s="89">
        <f>G137</f>
        <v>0.5</v>
      </c>
      <c r="F87" s="89">
        <f>G138</f>
        <v>0.10000000000002274</v>
      </c>
      <c r="G87" s="89">
        <f>G139</f>
        <v>0.29999999999998295</v>
      </c>
      <c r="H87" s="91">
        <f>G140</f>
        <v>1</v>
      </c>
      <c r="I87" s="91">
        <f>G141</f>
        <v>0.79999999999998295</v>
      </c>
      <c r="J87" s="92">
        <f>G142</f>
        <v>1.5999999999999943</v>
      </c>
      <c r="M87" s="76" t="s">
        <v>35</v>
      </c>
      <c r="N87" s="132">
        <f>MEDIAN(Table3672[Square Tolerance])</f>
        <v>0.80000000000001137</v>
      </c>
      <c r="O87" s="83"/>
      <c r="P87" s="137"/>
      <c r="Q87" s="21"/>
    </row>
    <row r="88" spans="2:17">
      <c r="B88" s="79">
        <f>G125</f>
        <v>1.1999999999999886</v>
      </c>
      <c r="C88" s="88">
        <f>G126</f>
        <v>1</v>
      </c>
      <c r="D88" s="93">
        <f>G127</f>
        <v>0.40000000000000568</v>
      </c>
      <c r="E88" s="88">
        <f>G128</f>
        <v>0.5</v>
      </c>
      <c r="F88" s="88">
        <f>G129</f>
        <v>0.29999999999998295</v>
      </c>
      <c r="G88" s="88">
        <f>G130</f>
        <v>0.70000000000001705</v>
      </c>
      <c r="H88" s="10">
        <f>G131</f>
        <v>0.69999999999998863</v>
      </c>
      <c r="I88" s="10">
        <f>G132</f>
        <v>4.9000000000000057</v>
      </c>
      <c r="J88" s="94">
        <f>G133</f>
        <v>0.80000000000001137</v>
      </c>
      <c r="M88" s="74" t="s">
        <v>37</v>
      </c>
      <c r="N88" s="130">
        <f>AVERAGE(Table3672[X Postion Error])</f>
        <v>0.96296296296296291</v>
      </c>
      <c r="O88" s="78"/>
      <c r="P88" s="135"/>
      <c r="Q88" s="21"/>
    </row>
    <row r="89" spans="2:17">
      <c r="B89" s="82">
        <f>G116</f>
        <v>1.0999999999999943</v>
      </c>
      <c r="C89" s="95">
        <f>G117</f>
        <v>0.79999999999998295</v>
      </c>
      <c r="D89" s="96">
        <f>G118</f>
        <v>0.89999999999997726</v>
      </c>
      <c r="E89" s="95">
        <f>G119</f>
        <v>0.80000000000001137</v>
      </c>
      <c r="F89" s="95">
        <f>G120</f>
        <v>0.30000000000001137</v>
      </c>
      <c r="G89" s="95">
        <f>G121</f>
        <v>0.20000000000001705</v>
      </c>
      <c r="H89" s="97">
        <f>G122</f>
        <v>0.20000000000001705</v>
      </c>
      <c r="I89" s="97">
        <f>G123</f>
        <v>0.80000000000001137</v>
      </c>
      <c r="J89" s="98">
        <f>G124</f>
        <v>0.89999999999997726</v>
      </c>
      <c r="M89" s="75" t="s">
        <v>38</v>
      </c>
      <c r="N89" s="131">
        <f>MIN(Table3672[X Postion Error])</f>
        <v>0</v>
      </c>
      <c r="O89" s="80" t="s">
        <v>36</v>
      </c>
      <c r="P89" s="136">
        <f>MAX(Table3672[X Postion Error])</f>
        <v>5</v>
      </c>
      <c r="Q89" s="21"/>
    </row>
    <row r="90" spans="2:17">
      <c r="B90" s="87"/>
      <c r="C90" s="87"/>
      <c r="D90" s="104"/>
      <c r="E90" s="87"/>
      <c r="F90" s="87"/>
      <c r="G90" s="87"/>
      <c r="H90" s="105"/>
      <c r="I90" s="105"/>
      <c r="J90" s="105"/>
      <c r="M90" s="76" t="s">
        <v>39</v>
      </c>
      <c r="N90" s="132">
        <f>MEDIAN(Table3672[X Postion Error])</f>
        <v>1</v>
      </c>
      <c r="O90" s="83"/>
      <c r="P90" s="137"/>
      <c r="Q90" s="21"/>
    </row>
    <row r="91" spans="2:17">
      <c r="B91" s="84" t="s">
        <v>44</v>
      </c>
      <c r="C91" s="85"/>
      <c r="D91" s="106"/>
      <c r="E91" s="85"/>
      <c r="F91" s="85"/>
      <c r="G91" s="85"/>
      <c r="H91" s="107"/>
      <c r="I91" s="107"/>
      <c r="J91" s="108"/>
      <c r="M91" s="75" t="s">
        <v>40</v>
      </c>
      <c r="N91" s="131">
        <f>AVERAGE(Table3672[Y Position Error])</f>
        <v>1.5925925925925926</v>
      </c>
      <c r="O91" s="81"/>
      <c r="P91" s="136"/>
      <c r="Q91" s="21"/>
    </row>
    <row r="92" spans="2:17">
      <c r="B92" s="77">
        <f>I134</f>
        <v>2</v>
      </c>
      <c r="C92" s="89">
        <f>I135</f>
        <v>2</v>
      </c>
      <c r="D92" s="90">
        <f>I136</f>
        <v>1</v>
      </c>
      <c r="E92" s="89">
        <f>I137</f>
        <v>0</v>
      </c>
      <c r="F92" s="89">
        <f>I138</f>
        <v>0</v>
      </c>
      <c r="G92" s="89">
        <f>I139</f>
        <v>0</v>
      </c>
      <c r="H92" s="91">
        <f>I140</f>
        <v>0</v>
      </c>
      <c r="I92" s="91">
        <f>I141</f>
        <v>1</v>
      </c>
      <c r="J92" s="92">
        <f>I142</f>
        <v>2</v>
      </c>
      <c r="M92" s="75" t="s">
        <v>41</v>
      </c>
      <c r="N92" s="131">
        <f>MIN(Table3672[Y Position Error])</f>
        <v>0</v>
      </c>
      <c r="O92" s="80" t="s">
        <v>36</v>
      </c>
      <c r="P92" s="136">
        <f>MAX(Table3672[Y Position Error])</f>
        <v>7</v>
      </c>
      <c r="Q92" s="21"/>
    </row>
    <row r="93" spans="2:17">
      <c r="B93" s="79">
        <f>I134</f>
        <v>2</v>
      </c>
      <c r="C93" s="88">
        <f>I126</f>
        <v>1</v>
      </c>
      <c r="D93" s="93">
        <f>I127</f>
        <v>0</v>
      </c>
      <c r="E93" s="88">
        <f>I128</f>
        <v>0</v>
      </c>
      <c r="F93" s="88">
        <f>I129</f>
        <v>0</v>
      </c>
      <c r="G93" s="88">
        <f>I130</f>
        <v>0</v>
      </c>
      <c r="H93" s="10">
        <f>I131</f>
        <v>0</v>
      </c>
      <c r="I93" s="10">
        <f>I132</f>
        <v>0</v>
      </c>
      <c r="J93" s="94">
        <f>I133</f>
        <v>2</v>
      </c>
      <c r="M93" s="76" t="s">
        <v>42</v>
      </c>
      <c r="N93" s="132">
        <f>-MEDIAN(Table3672[Y Position Error])</f>
        <v>-1</v>
      </c>
      <c r="O93" s="83"/>
      <c r="P93" s="137"/>
      <c r="Q93" s="21"/>
    </row>
    <row r="94" spans="2:17">
      <c r="B94" s="82">
        <f>I116</f>
        <v>1</v>
      </c>
      <c r="C94" s="95">
        <f>I117</f>
        <v>1</v>
      </c>
      <c r="D94" s="96">
        <f>I118</f>
        <v>0</v>
      </c>
      <c r="E94" s="95">
        <f>I119</f>
        <v>5</v>
      </c>
      <c r="F94" s="95">
        <f>I121</f>
        <v>0</v>
      </c>
      <c r="G94" s="95">
        <f>I121</f>
        <v>0</v>
      </c>
      <c r="H94" s="97">
        <f>I122</f>
        <v>2</v>
      </c>
      <c r="I94" s="97">
        <f>I123</f>
        <v>2</v>
      </c>
      <c r="J94" s="98">
        <f>I124</f>
        <v>2</v>
      </c>
      <c r="Q94" s="21"/>
    </row>
    <row r="95" spans="2:17">
      <c r="B95" s="87"/>
      <c r="C95" s="87"/>
      <c r="D95" s="104"/>
      <c r="E95" s="87"/>
      <c r="F95" s="87"/>
      <c r="G95" s="87"/>
      <c r="H95" s="105"/>
      <c r="I95" s="105"/>
      <c r="J95" s="105"/>
      <c r="Q95" s="21"/>
    </row>
    <row r="96" spans="2:17">
      <c r="B96" s="84" t="s">
        <v>14</v>
      </c>
      <c r="C96" s="85"/>
      <c r="D96" s="106"/>
      <c r="E96" s="85"/>
      <c r="F96" s="85"/>
      <c r="G96" s="85"/>
      <c r="H96" s="107"/>
      <c r="I96" s="107"/>
      <c r="J96" s="108"/>
      <c r="Q96" s="21"/>
    </row>
    <row r="97" spans="1:17">
      <c r="B97" s="77">
        <f>K134</f>
        <v>7</v>
      </c>
      <c r="C97" s="89">
        <f>K135</f>
        <v>2</v>
      </c>
      <c r="D97" s="90">
        <f>K136</f>
        <v>3</v>
      </c>
      <c r="E97" s="89">
        <f>K137</f>
        <v>4</v>
      </c>
      <c r="F97" s="89">
        <f>K138</f>
        <v>4</v>
      </c>
      <c r="G97" s="89">
        <f>K139</f>
        <v>4</v>
      </c>
      <c r="H97" s="91">
        <f>K140</f>
        <v>4</v>
      </c>
      <c r="I97" s="91">
        <f>K141</f>
        <v>2</v>
      </c>
      <c r="J97" s="92">
        <f>K142</f>
        <v>1</v>
      </c>
      <c r="Q97" s="21"/>
    </row>
    <row r="98" spans="1:17">
      <c r="B98" s="79">
        <f>K125</f>
        <v>0</v>
      </c>
      <c r="C98" s="88">
        <f>K126</f>
        <v>0</v>
      </c>
      <c r="D98" s="93">
        <f>K127</f>
        <v>1</v>
      </c>
      <c r="E98" s="88">
        <f>K128</f>
        <v>1</v>
      </c>
      <c r="F98" s="88">
        <f>K129</f>
        <v>2</v>
      </c>
      <c r="G98" s="88">
        <f>K130</f>
        <v>1</v>
      </c>
      <c r="H98" s="10">
        <f>K131</f>
        <v>1</v>
      </c>
      <c r="I98" s="10">
        <f>K132</f>
        <v>1</v>
      </c>
      <c r="J98" s="94">
        <f>K133</f>
        <v>0</v>
      </c>
      <c r="Q98" s="21"/>
    </row>
    <row r="99" spans="1:17">
      <c r="B99" s="82">
        <f>K116</f>
        <v>0</v>
      </c>
      <c r="C99" s="95">
        <f>K117</f>
        <v>0</v>
      </c>
      <c r="D99" s="96">
        <f>K118</f>
        <v>0</v>
      </c>
      <c r="E99" s="95">
        <f>K119</f>
        <v>5</v>
      </c>
      <c r="F99" s="95">
        <f>K120</f>
        <v>0</v>
      </c>
      <c r="G99" s="95">
        <f>K121</f>
        <v>0</v>
      </c>
      <c r="H99" s="97">
        <f>K122</f>
        <v>0</v>
      </c>
      <c r="I99" s="97">
        <f>K123</f>
        <v>0</v>
      </c>
      <c r="J99" s="98">
        <f>K124</f>
        <v>0</v>
      </c>
      <c r="Q99" s="21"/>
    </row>
    <row r="100" spans="1:17">
      <c r="B100" s="87"/>
      <c r="C100" s="87"/>
      <c r="D100" s="104"/>
      <c r="E100" s="87"/>
      <c r="F100" s="87"/>
      <c r="G100" s="87"/>
      <c r="H100" s="105"/>
      <c r="I100" s="105"/>
      <c r="J100" s="105"/>
      <c r="Q100" s="21"/>
    </row>
    <row r="101" spans="1:17">
      <c r="A101" s="109" t="s">
        <v>52</v>
      </c>
      <c r="B101" s="110"/>
      <c r="C101" s="110"/>
      <c r="D101" s="110"/>
      <c r="E101" s="110" t="s">
        <v>53</v>
      </c>
      <c r="F101" s="110"/>
      <c r="G101" s="110"/>
      <c r="H101" s="110"/>
      <c r="I101" s="110"/>
      <c r="J101" s="110"/>
      <c r="K101" s="112"/>
      <c r="Q101" s="21"/>
    </row>
    <row r="102" spans="1:17">
      <c r="A102" s="82">
        <f>(SUM(G105:G110)/6)</f>
        <v>2.5</v>
      </c>
      <c r="B102" s="95"/>
      <c r="C102" s="95">
        <f>(D105+D106+D110+D111+M105+M106+M110+M111)/8</f>
        <v>0.7524999999999995</v>
      </c>
      <c r="D102" s="96"/>
      <c r="E102" s="95">
        <v>6.12</v>
      </c>
      <c r="F102" s="95"/>
      <c r="G102" s="95"/>
      <c r="H102" s="97"/>
      <c r="I102" s="97"/>
      <c r="J102" s="97"/>
      <c r="K102" s="98"/>
      <c r="Q102" s="21"/>
    </row>
    <row r="103" spans="1:17">
      <c r="B103" s="87"/>
      <c r="C103" s="87"/>
      <c r="D103" s="104"/>
      <c r="E103" s="87"/>
      <c r="F103" s="87"/>
      <c r="G103" s="87"/>
      <c r="H103" s="105"/>
      <c r="I103" s="105"/>
      <c r="J103" s="105"/>
      <c r="Q103" s="21"/>
    </row>
    <row r="104" spans="1:17">
      <c r="A104" s="77" t="s">
        <v>47</v>
      </c>
      <c r="B104" s="138"/>
      <c r="C104" s="74"/>
      <c r="D104" s="104"/>
      <c r="E104" s="84"/>
      <c r="F104" s="85"/>
      <c r="G104" s="139"/>
      <c r="H104" s="105"/>
      <c r="I104" s="77" t="s">
        <v>47</v>
      </c>
      <c r="J104" s="89"/>
      <c r="K104" s="74"/>
      <c r="M104" s="133"/>
      <c r="N104" s="133"/>
      <c r="O104" s="72"/>
      <c r="P104" s="21"/>
      <c r="Q104" s="21"/>
    </row>
    <row r="105" spans="1:17">
      <c r="A105" s="77" t="s">
        <v>48</v>
      </c>
      <c r="B105" s="74">
        <v>93</v>
      </c>
      <c r="C105" s="74">
        <f>B105+$E$35</f>
        <v>99.12</v>
      </c>
      <c r="D105" s="146">
        <f>ABS(C105-100)</f>
        <v>0.87999999999999545</v>
      </c>
      <c r="E105" s="77" t="s">
        <v>54</v>
      </c>
      <c r="F105" s="89">
        <v>894</v>
      </c>
      <c r="G105" s="74">
        <f>ABS(900-F105)</f>
        <v>6</v>
      </c>
      <c r="H105" s="105"/>
      <c r="I105" s="77" t="s">
        <v>48</v>
      </c>
      <c r="J105" s="77">
        <v>93.8</v>
      </c>
      <c r="K105" s="74">
        <f>J105+$E$35</f>
        <v>99.92</v>
      </c>
      <c r="M105" s="146">
        <f>ABS(K105-100)</f>
        <v>7.9999999999998295E-2</v>
      </c>
      <c r="N105" s="72"/>
      <c r="P105" s="21"/>
      <c r="Q105" s="21"/>
    </row>
    <row r="106" spans="1:17">
      <c r="A106" s="82" t="s">
        <v>49</v>
      </c>
      <c r="B106" s="76">
        <v>92.6</v>
      </c>
      <c r="C106" s="76">
        <f>B106+$E$35</f>
        <v>98.72</v>
      </c>
      <c r="D106" s="146">
        <f>ABS(C106-100)</f>
        <v>1.2800000000000011</v>
      </c>
      <c r="E106" s="79" t="s">
        <v>55</v>
      </c>
      <c r="F106" s="88">
        <v>899</v>
      </c>
      <c r="G106" s="75">
        <f t="shared" ref="G106:G107" si="7">ABS(900-F106)</f>
        <v>1</v>
      </c>
      <c r="H106" s="105"/>
      <c r="I106" s="82" t="s">
        <v>49</v>
      </c>
      <c r="J106" s="82">
        <v>92.3</v>
      </c>
      <c r="K106" s="76">
        <f>J106+$E$35</f>
        <v>98.42</v>
      </c>
      <c r="M106" s="146">
        <f>ABS(K106-100)</f>
        <v>1.5799999999999983</v>
      </c>
      <c r="N106" s="72"/>
      <c r="P106" s="21"/>
      <c r="Q106" s="21"/>
    </row>
    <row r="107" spans="1:17">
      <c r="A107" s="82" t="s">
        <v>50</v>
      </c>
      <c r="B107" s="76">
        <f>ABS(B105-B106)</f>
        <v>0.40000000000000568</v>
      </c>
      <c r="C107" s="76">
        <f>ABS(C105-C106)</f>
        <v>0.40000000000000568</v>
      </c>
      <c r="D107" s="146"/>
      <c r="E107" s="79" t="s">
        <v>56</v>
      </c>
      <c r="F107" s="88">
        <v>897</v>
      </c>
      <c r="G107" s="75">
        <f t="shared" si="7"/>
        <v>3</v>
      </c>
      <c r="H107" s="105"/>
      <c r="I107" s="82" t="s">
        <v>50</v>
      </c>
      <c r="J107" s="82">
        <f>ABS(J105-J106)</f>
        <v>1.5</v>
      </c>
      <c r="K107" s="76">
        <f>ABS(K105-K106)</f>
        <v>1.5</v>
      </c>
      <c r="M107" s="147"/>
      <c r="N107" s="72"/>
      <c r="P107" s="21"/>
      <c r="Q107" s="21"/>
    </row>
    <row r="108" spans="1:17">
      <c r="A108" s="87"/>
      <c r="B108" s="87"/>
      <c r="C108" s="87"/>
      <c r="D108" s="146"/>
      <c r="E108" s="79" t="s">
        <v>57</v>
      </c>
      <c r="F108" s="88">
        <v>1905</v>
      </c>
      <c r="G108" s="75">
        <f>ABS(1905-F108)</f>
        <v>0</v>
      </c>
      <c r="H108" s="105"/>
      <c r="I108" s="87"/>
      <c r="J108" s="87"/>
      <c r="K108" s="87"/>
      <c r="M108" s="147"/>
      <c r="Q108" s="21"/>
    </row>
    <row r="109" spans="1:17">
      <c r="A109" s="77" t="s">
        <v>51</v>
      </c>
      <c r="B109" s="138"/>
      <c r="C109" s="74"/>
      <c r="D109" s="146"/>
      <c r="E109" s="79" t="s">
        <v>58</v>
      </c>
      <c r="F109" s="88">
        <v>1907</v>
      </c>
      <c r="G109" s="75">
        <f t="shared" ref="G109:G110" si="8">ABS(1905-F109)</f>
        <v>2</v>
      </c>
      <c r="H109" s="105"/>
      <c r="I109" s="77" t="s">
        <v>51</v>
      </c>
      <c r="J109" s="89"/>
      <c r="K109" s="74"/>
      <c r="M109" s="147"/>
      <c r="Q109" s="21"/>
    </row>
    <row r="110" spans="1:17">
      <c r="A110" s="77" t="s">
        <v>48</v>
      </c>
      <c r="B110" s="74">
        <v>93</v>
      </c>
      <c r="C110" s="74">
        <f>B110+$E$35</f>
        <v>99.12</v>
      </c>
      <c r="D110" s="146">
        <f>ABS(C110-100)</f>
        <v>0.87999999999999545</v>
      </c>
      <c r="E110" s="82" t="s">
        <v>59</v>
      </c>
      <c r="F110" s="95">
        <v>1908</v>
      </c>
      <c r="G110" s="76">
        <f t="shared" si="8"/>
        <v>3</v>
      </c>
      <c r="H110" s="105"/>
      <c r="I110" s="77" t="s">
        <v>48</v>
      </c>
      <c r="J110" s="77">
        <v>94.2</v>
      </c>
      <c r="K110" s="74">
        <f>J110+$E$35</f>
        <v>100.32000000000001</v>
      </c>
      <c r="M110" s="146">
        <f>ABS(K110-100)</f>
        <v>0.32000000000000739</v>
      </c>
      <c r="Q110" s="21"/>
    </row>
    <row r="111" spans="1:17">
      <c r="A111" s="82" t="s">
        <v>49</v>
      </c>
      <c r="B111" s="76">
        <v>93.9</v>
      </c>
      <c r="C111" s="76">
        <f>B111+$E$35</f>
        <v>100.02000000000001</v>
      </c>
      <c r="D111" s="146">
        <f>ABS(C111-100)</f>
        <v>2.0000000000010232E-2</v>
      </c>
      <c r="E111" s="87"/>
      <c r="H111" s="105"/>
      <c r="I111" s="82" t="s">
        <v>49</v>
      </c>
      <c r="J111" s="82">
        <v>92.9</v>
      </c>
      <c r="K111" s="76">
        <f>J111+$E$35</f>
        <v>99.02000000000001</v>
      </c>
      <c r="M111" s="146">
        <f>ABS(K111-100)</f>
        <v>0.97999999999998977</v>
      </c>
      <c r="Q111" s="21"/>
    </row>
    <row r="112" spans="1:17">
      <c r="A112" s="82" t="s">
        <v>50</v>
      </c>
      <c r="B112" s="76">
        <f>ABS(B110-B111)</f>
        <v>0.90000000000000568</v>
      </c>
      <c r="C112" s="76">
        <f>ABS(C110-C111)</f>
        <v>0.90000000000000568</v>
      </c>
      <c r="D112" s="104"/>
      <c r="H112" s="105"/>
      <c r="I112" s="82" t="s">
        <v>50</v>
      </c>
      <c r="J112" s="82">
        <f>ABS(J110-J111)</f>
        <v>1.2999999999999972</v>
      </c>
      <c r="K112" s="76">
        <f>ABS(K110-K111)</f>
        <v>1.2999999999999972</v>
      </c>
      <c r="Q112" s="21"/>
    </row>
    <row r="113" spans="1:17">
      <c r="B113" s="87"/>
      <c r="C113" s="87"/>
      <c r="D113" s="104"/>
      <c r="E113" s="87"/>
      <c r="F113" s="87"/>
      <c r="G113" s="87"/>
      <c r="H113" s="105"/>
      <c r="I113" s="105"/>
      <c r="J113" s="105"/>
      <c r="N113" s="21"/>
      <c r="P113" s="21"/>
      <c r="Q113" s="21"/>
    </row>
    <row r="114" spans="1:17">
      <c r="Q114" s="21"/>
    </row>
    <row r="115" spans="1:17" ht="30">
      <c r="A115" s="39" t="s">
        <v>1</v>
      </c>
      <c r="B115" s="16" t="s">
        <v>2</v>
      </c>
      <c r="C115" s="17" t="s">
        <v>3</v>
      </c>
      <c r="D115" s="18" t="s">
        <v>4</v>
      </c>
      <c r="E115" s="17" t="s">
        <v>5</v>
      </c>
      <c r="F115" s="17" t="s">
        <v>6</v>
      </c>
      <c r="G115" s="18" t="s">
        <v>7</v>
      </c>
      <c r="H115" s="19" t="s">
        <v>11</v>
      </c>
      <c r="I115" s="18" t="s">
        <v>12</v>
      </c>
      <c r="J115" s="19" t="s">
        <v>13</v>
      </c>
      <c r="K115" s="40" t="s">
        <v>14</v>
      </c>
      <c r="N115" s="21"/>
      <c r="P115" s="21"/>
      <c r="Q115" s="21"/>
    </row>
    <row r="116" spans="1:17">
      <c r="A116" s="41">
        <v>1</v>
      </c>
      <c r="B116" s="3">
        <v>100</v>
      </c>
      <c r="C116" s="2">
        <v>100.5</v>
      </c>
      <c r="D116" s="151">
        <f t="shared" ref="D116:D142" si="9">ABS(B116-C116)</f>
        <v>0.5</v>
      </c>
      <c r="E116" s="2">
        <v>140.4</v>
      </c>
      <c r="F116" s="2">
        <v>141.5</v>
      </c>
      <c r="G116" s="154">
        <f t="shared" ref="G116:G142" si="10">ABS(E116-F116)</f>
        <v>1.0999999999999943</v>
      </c>
      <c r="H116" s="9">
        <v>851</v>
      </c>
      <c r="I116" s="120">
        <f>ABS(H116-850)</f>
        <v>1</v>
      </c>
      <c r="J116" s="124">
        <v>0</v>
      </c>
      <c r="K116" s="59">
        <f>ABS(J116-0)</f>
        <v>0</v>
      </c>
      <c r="N116" s="21"/>
      <c r="P116" s="21"/>
      <c r="Q116" s="21"/>
    </row>
    <row r="117" spans="1:17">
      <c r="A117" s="41">
        <v>2</v>
      </c>
      <c r="B117" s="3">
        <v>99.5</v>
      </c>
      <c r="C117" s="2">
        <v>99.6</v>
      </c>
      <c r="D117" s="151">
        <f t="shared" si="9"/>
        <v>9.9999999999994316E-2</v>
      </c>
      <c r="E117" s="2">
        <v>140.6</v>
      </c>
      <c r="F117" s="2">
        <v>139.80000000000001</v>
      </c>
      <c r="G117" s="154">
        <f t="shared" si="10"/>
        <v>0.79999999999998295</v>
      </c>
      <c r="H117" s="9">
        <v>601</v>
      </c>
      <c r="I117" s="121">
        <f>ABS(H117-600)</f>
        <v>1</v>
      </c>
      <c r="J117" s="118">
        <v>0</v>
      </c>
      <c r="K117" s="59">
        <f t="shared" ref="K117:K124" si="11">ABS(J117-0)</f>
        <v>0</v>
      </c>
      <c r="N117" s="21"/>
      <c r="P117" s="21"/>
      <c r="Q117" s="21"/>
    </row>
    <row r="118" spans="1:17">
      <c r="A118" s="41">
        <v>3</v>
      </c>
      <c r="B118" s="3">
        <v>99.8</v>
      </c>
      <c r="C118" s="2">
        <v>100</v>
      </c>
      <c r="D118" s="151">
        <f t="shared" si="9"/>
        <v>0.20000000000000284</v>
      </c>
      <c r="E118" s="2">
        <v>141.19999999999999</v>
      </c>
      <c r="F118" s="2">
        <v>140.30000000000001</v>
      </c>
      <c r="G118" s="154">
        <f t="shared" si="10"/>
        <v>0.89999999999997726</v>
      </c>
      <c r="H118" s="9">
        <v>350</v>
      </c>
      <c r="I118" s="121">
        <f>ABS(H118-350)</f>
        <v>0</v>
      </c>
      <c r="J118" s="118">
        <v>0</v>
      </c>
      <c r="K118" s="59">
        <f t="shared" si="11"/>
        <v>0</v>
      </c>
      <c r="N118" s="21"/>
      <c r="P118" s="21"/>
      <c r="Q118" s="21"/>
    </row>
    <row r="119" spans="1:17">
      <c r="A119" s="41">
        <v>4</v>
      </c>
      <c r="B119" s="3">
        <v>99.7</v>
      </c>
      <c r="C119" s="2">
        <v>99.5</v>
      </c>
      <c r="D119" s="151">
        <f t="shared" si="9"/>
        <v>0.20000000000000284</v>
      </c>
      <c r="E119" s="2">
        <v>141</v>
      </c>
      <c r="F119" s="2">
        <v>140.19999999999999</v>
      </c>
      <c r="G119" s="154">
        <f t="shared" si="10"/>
        <v>0.80000000000001137</v>
      </c>
      <c r="H119" s="9">
        <v>95</v>
      </c>
      <c r="I119" s="121">
        <f>ABS(H119-100)</f>
        <v>5</v>
      </c>
      <c r="J119" s="118">
        <v>5</v>
      </c>
      <c r="K119" s="59">
        <f t="shared" si="11"/>
        <v>5</v>
      </c>
      <c r="N119" s="21"/>
      <c r="P119" s="21"/>
      <c r="Q119" s="21"/>
    </row>
    <row r="120" spans="1:17">
      <c r="A120" s="41">
        <v>5</v>
      </c>
      <c r="B120" s="3">
        <v>100</v>
      </c>
      <c r="C120" s="2">
        <v>99.7</v>
      </c>
      <c r="D120" s="151">
        <f t="shared" si="9"/>
        <v>0.29999999999999716</v>
      </c>
      <c r="E120" s="2">
        <v>140.80000000000001</v>
      </c>
      <c r="F120" s="2">
        <v>140.5</v>
      </c>
      <c r="G120" s="154">
        <f t="shared" si="10"/>
        <v>0.30000000000001137</v>
      </c>
      <c r="H120" s="9" t="s">
        <v>16</v>
      </c>
      <c r="I120" s="121">
        <v>0</v>
      </c>
      <c r="J120" s="118" t="s">
        <v>16</v>
      </c>
      <c r="K120" s="59">
        <v>0</v>
      </c>
      <c r="N120" s="21"/>
      <c r="P120" s="21"/>
      <c r="Q120" s="21"/>
    </row>
    <row r="121" spans="1:17">
      <c r="A121" s="41">
        <v>6</v>
      </c>
      <c r="B121" s="3">
        <v>99.9</v>
      </c>
      <c r="C121" s="2">
        <v>99.4</v>
      </c>
      <c r="D121" s="151">
        <f t="shared" si="9"/>
        <v>0.5</v>
      </c>
      <c r="E121" s="2">
        <v>140.9</v>
      </c>
      <c r="F121" s="2">
        <v>140.69999999999999</v>
      </c>
      <c r="G121" s="154">
        <f t="shared" si="10"/>
        <v>0.20000000000001705</v>
      </c>
      <c r="H121" s="9">
        <v>100</v>
      </c>
      <c r="I121" s="121">
        <f>ABS(H121-100)</f>
        <v>0</v>
      </c>
      <c r="J121" s="118">
        <v>0</v>
      </c>
      <c r="K121" s="59">
        <f t="shared" si="11"/>
        <v>0</v>
      </c>
      <c r="N121" s="21"/>
      <c r="P121" s="21"/>
      <c r="Q121" s="21"/>
    </row>
    <row r="122" spans="1:17">
      <c r="A122" s="41">
        <v>7</v>
      </c>
      <c r="B122" s="3">
        <v>99.7</v>
      </c>
      <c r="C122" s="2">
        <v>99.8</v>
      </c>
      <c r="D122" s="151">
        <f t="shared" si="9"/>
        <v>9.9999999999994316E-2</v>
      </c>
      <c r="E122" s="2">
        <v>140.9</v>
      </c>
      <c r="F122" s="2">
        <v>140.69999999999999</v>
      </c>
      <c r="G122" s="154">
        <f t="shared" si="10"/>
        <v>0.20000000000001705</v>
      </c>
      <c r="H122" s="9">
        <v>352</v>
      </c>
      <c r="I122" s="121">
        <f>ABS(H122-350)</f>
        <v>2</v>
      </c>
      <c r="J122" s="118">
        <v>0</v>
      </c>
      <c r="K122" s="59">
        <f t="shared" si="11"/>
        <v>0</v>
      </c>
      <c r="N122" s="21"/>
      <c r="P122" s="21"/>
      <c r="Q122" s="21"/>
    </row>
    <row r="123" spans="1:17">
      <c r="A123" s="41">
        <v>8</v>
      </c>
      <c r="B123" s="3">
        <v>100.2</v>
      </c>
      <c r="C123" s="2">
        <v>99.8</v>
      </c>
      <c r="D123" s="151">
        <f t="shared" si="9"/>
        <v>0.40000000000000568</v>
      </c>
      <c r="E123" s="2">
        <v>141.30000000000001</v>
      </c>
      <c r="F123" s="2">
        <v>140.5</v>
      </c>
      <c r="G123" s="154">
        <f t="shared" si="10"/>
        <v>0.80000000000001137</v>
      </c>
      <c r="H123" s="9">
        <v>602</v>
      </c>
      <c r="I123" s="121">
        <f>ABS(H123-600)</f>
        <v>2</v>
      </c>
      <c r="J123" s="118">
        <v>0</v>
      </c>
      <c r="K123" s="59">
        <f t="shared" si="11"/>
        <v>0</v>
      </c>
      <c r="N123" s="21"/>
      <c r="P123" s="21"/>
      <c r="Q123" s="21"/>
    </row>
    <row r="124" spans="1:17">
      <c r="A124" s="42">
        <v>9</v>
      </c>
      <c r="B124" s="5">
        <v>100.4</v>
      </c>
      <c r="C124" s="1">
        <v>99.9</v>
      </c>
      <c r="D124" s="152">
        <f t="shared" si="9"/>
        <v>0.5</v>
      </c>
      <c r="E124" s="1">
        <v>141.19999999999999</v>
      </c>
      <c r="F124" s="1">
        <v>140.30000000000001</v>
      </c>
      <c r="G124" s="155">
        <f t="shared" si="10"/>
        <v>0.89999999999997726</v>
      </c>
      <c r="H124" s="11">
        <v>852</v>
      </c>
      <c r="I124" s="122">
        <f>ABS(H124-850)</f>
        <v>2</v>
      </c>
      <c r="J124" s="119">
        <v>0</v>
      </c>
      <c r="K124" s="61">
        <f t="shared" si="11"/>
        <v>0</v>
      </c>
      <c r="N124" s="21"/>
      <c r="P124" s="21"/>
      <c r="Q124" s="21"/>
    </row>
    <row r="125" spans="1:17">
      <c r="A125" s="41">
        <v>10</v>
      </c>
      <c r="B125" s="3">
        <v>99.8</v>
      </c>
      <c r="C125" s="2">
        <v>100.7</v>
      </c>
      <c r="D125" s="151">
        <f t="shared" si="9"/>
        <v>0.90000000000000568</v>
      </c>
      <c r="E125" s="2">
        <v>140.4</v>
      </c>
      <c r="F125" s="2">
        <v>141.6</v>
      </c>
      <c r="G125" s="154">
        <f t="shared" si="10"/>
        <v>1.1999999999999886</v>
      </c>
      <c r="H125" s="9">
        <v>852</v>
      </c>
      <c r="I125" s="121">
        <f>ABS(H125-850)</f>
        <v>2</v>
      </c>
      <c r="J125" s="125">
        <v>296</v>
      </c>
      <c r="K125" s="62">
        <f>ABS(J125-296)</f>
        <v>0</v>
      </c>
      <c r="N125" s="21"/>
      <c r="P125" s="21"/>
      <c r="Q125" s="21"/>
    </row>
    <row r="126" spans="1:17">
      <c r="A126" s="41">
        <v>11</v>
      </c>
      <c r="B126" s="3">
        <v>100</v>
      </c>
      <c r="C126" s="2">
        <v>99.7</v>
      </c>
      <c r="D126" s="151">
        <f t="shared" si="9"/>
        <v>0.29999999999999716</v>
      </c>
      <c r="E126" s="2">
        <v>140.30000000000001</v>
      </c>
      <c r="F126" s="2">
        <v>141.30000000000001</v>
      </c>
      <c r="G126" s="154">
        <f t="shared" si="10"/>
        <v>1</v>
      </c>
      <c r="H126" s="9">
        <v>601</v>
      </c>
      <c r="I126" s="121">
        <f>ABS(H126-600)</f>
        <v>1</v>
      </c>
      <c r="J126" s="125">
        <v>296</v>
      </c>
      <c r="K126" s="70">
        <f t="shared" ref="K126:K133" si="12">ABS(J126-296)</f>
        <v>0</v>
      </c>
      <c r="N126" s="21"/>
      <c r="P126" s="21"/>
      <c r="Q126" s="21"/>
    </row>
    <row r="127" spans="1:17">
      <c r="A127" s="41">
        <v>12</v>
      </c>
      <c r="B127" s="3">
        <v>100.2</v>
      </c>
      <c r="C127" s="2">
        <v>99.5</v>
      </c>
      <c r="D127" s="151">
        <f t="shared" si="9"/>
        <v>0.70000000000000284</v>
      </c>
      <c r="E127" s="2">
        <v>140.6</v>
      </c>
      <c r="F127" s="2">
        <v>141</v>
      </c>
      <c r="G127" s="154">
        <f t="shared" si="10"/>
        <v>0.40000000000000568</v>
      </c>
      <c r="H127" s="9">
        <v>350</v>
      </c>
      <c r="I127" s="121">
        <f>ABS(H127-350)</f>
        <v>0</v>
      </c>
      <c r="J127" s="126">
        <v>295</v>
      </c>
      <c r="K127" s="70">
        <f t="shared" si="12"/>
        <v>1</v>
      </c>
      <c r="N127" s="21"/>
      <c r="P127" s="21"/>
      <c r="Q127" s="21"/>
    </row>
    <row r="128" spans="1:17">
      <c r="A128" s="41">
        <v>13</v>
      </c>
      <c r="B128" s="3">
        <v>100</v>
      </c>
      <c r="C128" s="2">
        <v>99.4</v>
      </c>
      <c r="D128" s="151">
        <f t="shared" si="9"/>
        <v>0.59999999999999432</v>
      </c>
      <c r="E128" s="2">
        <v>140.19999999999999</v>
      </c>
      <c r="F128" s="2">
        <v>140.69999999999999</v>
      </c>
      <c r="G128" s="154">
        <f t="shared" si="10"/>
        <v>0.5</v>
      </c>
      <c r="H128" s="9">
        <v>100</v>
      </c>
      <c r="I128" s="121">
        <f>ABS(H128-100)</f>
        <v>0</v>
      </c>
      <c r="J128" s="126">
        <v>295</v>
      </c>
      <c r="K128" s="70">
        <f t="shared" si="12"/>
        <v>1</v>
      </c>
      <c r="N128" s="21"/>
      <c r="P128" s="21"/>
      <c r="Q128" s="21"/>
    </row>
    <row r="129" spans="1:17">
      <c r="A129" s="41">
        <v>14</v>
      </c>
      <c r="B129" s="3">
        <v>100.1</v>
      </c>
      <c r="C129" s="2">
        <v>99.5</v>
      </c>
      <c r="D129" s="151">
        <f t="shared" si="9"/>
        <v>0.59999999999999432</v>
      </c>
      <c r="E129" s="2">
        <v>140.4</v>
      </c>
      <c r="F129" s="2">
        <v>140.69999999999999</v>
      </c>
      <c r="G129" s="154">
        <f t="shared" si="10"/>
        <v>0.29999999999998295</v>
      </c>
      <c r="H129" s="9" t="s">
        <v>16</v>
      </c>
      <c r="I129" s="121">
        <v>0</v>
      </c>
      <c r="J129" s="126">
        <v>294</v>
      </c>
      <c r="K129" s="70">
        <f t="shared" si="12"/>
        <v>2</v>
      </c>
      <c r="N129" s="21"/>
      <c r="P129" s="21"/>
      <c r="Q129" s="21"/>
    </row>
    <row r="130" spans="1:17">
      <c r="A130" s="41">
        <v>15</v>
      </c>
      <c r="B130" s="3">
        <v>100</v>
      </c>
      <c r="C130" s="2">
        <v>99.4</v>
      </c>
      <c r="D130" s="151">
        <f t="shared" si="9"/>
        <v>0.59999999999999432</v>
      </c>
      <c r="E130" s="2">
        <v>140.9</v>
      </c>
      <c r="F130" s="2">
        <v>140.19999999999999</v>
      </c>
      <c r="G130" s="154">
        <f t="shared" si="10"/>
        <v>0.70000000000001705</v>
      </c>
      <c r="H130" s="9">
        <v>100</v>
      </c>
      <c r="I130" s="121">
        <f>ABS(H130-100)</f>
        <v>0</v>
      </c>
      <c r="J130" s="126">
        <v>295</v>
      </c>
      <c r="K130" s="70">
        <f t="shared" si="12"/>
        <v>1</v>
      </c>
      <c r="N130" s="21"/>
      <c r="P130" s="21"/>
      <c r="Q130" s="21"/>
    </row>
    <row r="131" spans="1:17">
      <c r="A131" s="41">
        <v>16</v>
      </c>
      <c r="B131" s="3">
        <v>100.2</v>
      </c>
      <c r="C131" s="2">
        <v>99.4</v>
      </c>
      <c r="D131" s="151">
        <f t="shared" si="9"/>
        <v>0.79999999999999716</v>
      </c>
      <c r="E131" s="2">
        <v>141</v>
      </c>
      <c r="F131" s="2">
        <v>140.30000000000001</v>
      </c>
      <c r="G131" s="154">
        <f t="shared" si="10"/>
        <v>0.69999999999998863</v>
      </c>
      <c r="H131" s="9">
        <v>350</v>
      </c>
      <c r="I131" s="121">
        <f>ABS(H131-350)</f>
        <v>0</v>
      </c>
      <c r="J131" s="126">
        <v>295</v>
      </c>
      <c r="K131" s="70">
        <f t="shared" si="12"/>
        <v>1</v>
      </c>
      <c r="N131" s="21"/>
      <c r="P131" s="21"/>
      <c r="Q131" s="21"/>
    </row>
    <row r="132" spans="1:17">
      <c r="A132" s="41">
        <v>17</v>
      </c>
      <c r="B132" s="3">
        <v>101.3</v>
      </c>
      <c r="C132" s="2">
        <v>99.8</v>
      </c>
      <c r="D132" s="151">
        <f t="shared" si="9"/>
        <v>1.5</v>
      </c>
      <c r="E132" s="2">
        <v>141.1</v>
      </c>
      <c r="F132" s="2">
        <v>136.19999999999999</v>
      </c>
      <c r="G132" s="154">
        <f t="shared" si="10"/>
        <v>4.9000000000000057</v>
      </c>
      <c r="H132" s="9">
        <v>600</v>
      </c>
      <c r="I132" s="121">
        <f>ABS(H132-600)</f>
        <v>0</v>
      </c>
      <c r="J132" s="126">
        <v>297</v>
      </c>
      <c r="K132" s="70">
        <f t="shared" si="12"/>
        <v>1</v>
      </c>
      <c r="N132" s="21"/>
      <c r="P132" s="21"/>
      <c r="Q132" s="21"/>
    </row>
    <row r="133" spans="1:17">
      <c r="A133" s="42">
        <v>18</v>
      </c>
      <c r="B133" s="5">
        <v>100.4</v>
      </c>
      <c r="C133" s="1">
        <v>100.1</v>
      </c>
      <c r="D133" s="152">
        <f t="shared" si="9"/>
        <v>0.30000000000001137</v>
      </c>
      <c r="E133" s="1">
        <v>141.9</v>
      </c>
      <c r="F133" s="1">
        <v>141.1</v>
      </c>
      <c r="G133" s="155">
        <f t="shared" si="10"/>
        <v>0.80000000000001137</v>
      </c>
      <c r="H133" s="11">
        <v>852</v>
      </c>
      <c r="I133" s="122">
        <f>ABS(H133-850)</f>
        <v>2</v>
      </c>
      <c r="J133" s="127">
        <v>296</v>
      </c>
      <c r="K133" s="59">
        <f t="shared" si="12"/>
        <v>0</v>
      </c>
      <c r="N133" s="21"/>
      <c r="P133" s="21"/>
      <c r="Q133" s="21"/>
    </row>
    <row r="134" spans="1:17">
      <c r="A134" s="41">
        <v>19</v>
      </c>
      <c r="B134" s="3">
        <v>99.4</v>
      </c>
      <c r="C134" s="2">
        <v>99.5</v>
      </c>
      <c r="D134" s="151">
        <f t="shared" si="9"/>
        <v>9.9999999999994316E-2</v>
      </c>
      <c r="E134" s="2">
        <v>139.6</v>
      </c>
      <c r="F134" s="2">
        <v>140.80000000000001</v>
      </c>
      <c r="G134" s="154">
        <f t="shared" si="10"/>
        <v>1.2000000000000171</v>
      </c>
      <c r="H134" s="9">
        <v>852</v>
      </c>
      <c r="I134" s="121">
        <f>ABS(H134-850)</f>
        <v>2</v>
      </c>
      <c r="J134" s="125">
        <v>645</v>
      </c>
      <c r="K134" s="62">
        <f t="shared" ref="K134:K142" si="13">ABS(J134-(652+K116))</f>
        <v>7</v>
      </c>
      <c r="N134" s="21"/>
      <c r="P134" s="21"/>
      <c r="Q134" s="21"/>
    </row>
    <row r="135" spans="1:17">
      <c r="A135" s="41">
        <v>20</v>
      </c>
      <c r="B135" s="3">
        <v>99.7</v>
      </c>
      <c r="C135" s="2">
        <v>98.9</v>
      </c>
      <c r="D135" s="151">
        <f t="shared" si="9"/>
        <v>0.79999999999999716</v>
      </c>
      <c r="E135" s="2">
        <v>139.1</v>
      </c>
      <c r="F135" s="2">
        <v>139.9</v>
      </c>
      <c r="G135" s="154">
        <f t="shared" si="10"/>
        <v>0.80000000000001137</v>
      </c>
      <c r="H135" s="9">
        <v>602</v>
      </c>
      <c r="I135" s="121">
        <f>ABS(H135-600)</f>
        <v>2</v>
      </c>
      <c r="J135" s="126">
        <v>650</v>
      </c>
      <c r="K135" s="59">
        <f t="shared" si="13"/>
        <v>2</v>
      </c>
      <c r="N135" s="21"/>
      <c r="P135" s="21"/>
      <c r="Q135" s="21"/>
    </row>
    <row r="136" spans="1:17">
      <c r="A136" s="41">
        <v>21</v>
      </c>
      <c r="B136" s="3">
        <v>100</v>
      </c>
      <c r="C136" s="2">
        <v>98</v>
      </c>
      <c r="D136" s="151">
        <f t="shared" si="9"/>
        <v>2</v>
      </c>
      <c r="E136" s="2">
        <v>138.9</v>
      </c>
      <c r="F136" s="2">
        <v>139.9</v>
      </c>
      <c r="G136" s="154">
        <f t="shared" si="10"/>
        <v>1</v>
      </c>
      <c r="H136" s="9">
        <v>351</v>
      </c>
      <c r="I136" s="121">
        <f>ABS(H136-350)</f>
        <v>1</v>
      </c>
      <c r="J136" s="126">
        <v>649</v>
      </c>
      <c r="K136" s="59">
        <f t="shared" si="13"/>
        <v>3</v>
      </c>
      <c r="N136" s="21"/>
      <c r="P136" s="21"/>
      <c r="Q136" s="21"/>
    </row>
    <row r="137" spans="1:17">
      <c r="A137" s="41">
        <v>22</v>
      </c>
      <c r="B137" s="3">
        <v>100.1</v>
      </c>
      <c r="C137" s="2">
        <v>97.5</v>
      </c>
      <c r="D137" s="151">
        <f t="shared" si="9"/>
        <v>2.5999999999999943</v>
      </c>
      <c r="E137" s="2">
        <v>139.1</v>
      </c>
      <c r="F137" s="2">
        <v>139.6</v>
      </c>
      <c r="G137" s="154">
        <f t="shared" si="10"/>
        <v>0.5</v>
      </c>
      <c r="H137" s="9">
        <v>100</v>
      </c>
      <c r="I137" s="121">
        <f>ABS(H137-100)</f>
        <v>0</v>
      </c>
      <c r="J137" s="126">
        <v>653</v>
      </c>
      <c r="K137" s="59">
        <f t="shared" si="13"/>
        <v>4</v>
      </c>
      <c r="N137" s="21"/>
      <c r="P137" s="21"/>
      <c r="Q137" s="21"/>
    </row>
    <row r="138" spans="1:17">
      <c r="A138" s="41">
        <v>23</v>
      </c>
      <c r="B138" s="3">
        <v>100.2</v>
      </c>
      <c r="C138" s="2">
        <v>97.4</v>
      </c>
      <c r="D138" s="151">
        <f t="shared" si="9"/>
        <v>2.7999999999999972</v>
      </c>
      <c r="E138" s="2">
        <v>139.30000000000001</v>
      </c>
      <c r="F138" s="2">
        <v>139.19999999999999</v>
      </c>
      <c r="G138" s="154">
        <f t="shared" si="10"/>
        <v>0.10000000000002274</v>
      </c>
      <c r="H138" s="9" t="s">
        <v>16</v>
      </c>
      <c r="I138" s="121">
        <v>0</v>
      </c>
      <c r="J138" s="126">
        <v>648</v>
      </c>
      <c r="K138" s="59">
        <f t="shared" si="13"/>
        <v>4</v>
      </c>
      <c r="N138" s="21"/>
      <c r="P138" s="21"/>
      <c r="Q138" s="21"/>
    </row>
    <row r="139" spans="1:17">
      <c r="A139" s="41">
        <v>24</v>
      </c>
      <c r="B139" s="3">
        <v>100.3</v>
      </c>
      <c r="C139" s="2">
        <v>97.6</v>
      </c>
      <c r="D139" s="151">
        <f t="shared" si="9"/>
        <v>2.7000000000000028</v>
      </c>
      <c r="E139" s="2">
        <v>139.69999999999999</v>
      </c>
      <c r="F139" s="2">
        <v>139.4</v>
      </c>
      <c r="G139" s="154">
        <f t="shared" si="10"/>
        <v>0.29999999999998295</v>
      </c>
      <c r="H139" s="9">
        <v>100</v>
      </c>
      <c r="I139" s="121">
        <f>ABS(H139-100)</f>
        <v>0</v>
      </c>
      <c r="J139" s="126">
        <v>648</v>
      </c>
      <c r="K139" s="59">
        <f t="shared" si="13"/>
        <v>4</v>
      </c>
      <c r="N139" s="21"/>
      <c r="P139" s="21"/>
      <c r="Q139" s="21"/>
    </row>
    <row r="140" spans="1:17">
      <c r="A140" s="41">
        <v>25</v>
      </c>
      <c r="B140" s="3">
        <v>100.3</v>
      </c>
      <c r="C140" s="2">
        <v>97.6</v>
      </c>
      <c r="D140" s="151">
        <f t="shared" si="9"/>
        <v>2.7000000000000028</v>
      </c>
      <c r="E140" s="2">
        <v>140</v>
      </c>
      <c r="F140" s="2">
        <v>139</v>
      </c>
      <c r="G140" s="154">
        <f t="shared" si="10"/>
        <v>1</v>
      </c>
      <c r="H140" s="9">
        <v>350</v>
      </c>
      <c r="I140" s="121">
        <f>ABS(H140-350)</f>
        <v>0</v>
      </c>
      <c r="J140" s="126">
        <v>648</v>
      </c>
      <c r="K140" s="59">
        <f t="shared" si="13"/>
        <v>4</v>
      </c>
      <c r="N140" s="21"/>
      <c r="P140" s="21"/>
      <c r="Q140" s="21"/>
    </row>
    <row r="141" spans="1:17">
      <c r="A141" s="41">
        <v>26</v>
      </c>
      <c r="B141" s="3">
        <v>100.2</v>
      </c>
      <c r="C141" s="2">
        <v>98</v>
      </c>
      <c r="D141" s="151">
        <f t="shared" si="9"/>
        <v>2.2000000000000028</v>
      </c>
      <c r="E141" s="2">
        <v>139.69999999999999</v>
      </c>
      <c r="F141" s="2">
        <v>138.9</v>
      </c>
      <c r="G141" s="154">
        <f t="shared" si="10"/>
        <v>0.79999999999998295</v>
      </c>
      <c r="H141" s="9">
        <v>601</v>
      </c>
      <c r="I141" s="121">
        <f>ABS(H141-600)</f>
        <v>1</v>
      </c>
      <c r="J141" s="126">
        <v>650</v>
      </c>
      <c r="K141" s="59">
        <f t="shared" si="13"/>
        <v>2</v>
      </c>
      <c r="N141" s="21"/>
      <c r="P141" s="21"/>
      <c r="Q141" s="21"/>
    </row>
    <row r="142" spans="1:17" ht="15.75" thickBot="1">
      <c r="A142" s="43">
        <v>27</v>
      </c>
      <c r="B142" s="44">
        <v>100</v>
      </c>
      <c r="C142" s="45">
        <v>98.6</v>
      </c>
      <c r="D142" s="153">
        <f t="shared" si="9"/>
        <v>1.4000000000000057</v>
      </c>
      <c r="E142" s="45">
        <v>140.9</v>
      </c>
      <c r="F142" s="45">
        <v>139.30000000000001</v>
      </c>
      <c r="G142" s="156">
        <f t="shared" si="10"/>
        <v>1.5999999999999943</v>
      </c>
      <c r="H142" s="46">
        <v>852</v>
      </c>
      <c r="I142" s="122">
        <f>ABS(H142-850)</f>
        <v>2</v>
      </c>
      <c r="J142" s="128">
        <v>651</v>
      </c>
      <c r="K142" s="59">
        <f t="shared" si="13"/>
        <v>1</v>
      </c>
      <c r="Q142" s="21"/>
    </row>
    <row r="145" spans="1:17">
      <c r="A145" s="141" t="s">
        <v>20</v>
      </c>
      <c r="B145" s="110"/>
      <c r="C145" s="111" t="s">
        <v>19</v>
      </c>
      <c r="D145" s="142"/>
      <c r="E145" s="143" t="s">
        <v>61</v>
      </c>
      <c r="F145" s="143"/>
      <c r="G145" s="143"/>
      <c r="H145" s="110"/>
      <c r="I145" s="110"/>
      <c r="J145" s="110"/>
      <c r="K145" s="112"/>
      <c r="N145" s="21"/>
      <c r="P145" s="21"/>
      <c r="Q145" s="21"/>
    </row>
    <row r="146" spans="1:17">
      <c r="A146" s="144" t="s">
        <v>23</v>
      </c>
      <c r="B146" s="115"/>
      <c r="C146" s="115">
        <v>267</v>
      </c>
      <c r="D146" s="115"/>
      <c r="E146" s="115">
        <v>8.8304399999999994</v>
      </c>
      <c r="F146" s="115"/>
      <c r="G146" s="115"/>
      <c r="H146" s="115"/>
      <c r="I146" s="115"/>
      <c r="J146" s="115"/>
      <c r="K146" s="145"/>
      <c r="N146" s="21"/>
      <c r="P146" s="21"/>
      <c r="Q146" s="21"/>
    </row>
    <row r="148" spans="1:17">
      <c r="B148" s="99" t="s">
        <v>43</v>
      </c>
      <c r="C148" s="100"/>
      <c r="D148" s="101"/>
      <c r="E148" s="100"/>
      <c r="F148" s="100"/>
      <c r="G148" s="100"/>
      <c r="H148" s="102"/>
      <c r="I148" s="102"/>
      <c r="J148" s="103"/>
      <c r="M148" s="84" t="s">
        <v>64</v>
      </c>
      <c r="N148" s="129"/>
      <c r="O148" s="86"/>
      <c r="P148" s="134"/>
      <c r="Q148" s="21"/>
    </row>
    <row r="149" spans="1:17">
      <c r="B149" s="77">
        <f>D201</f>
        <v>9.9999999999994316E-2</v>
      </c>
      <c r="C149" s="89">
        <f>D202</f>
        <v>0.20000000000000284</v>
      </c>
      <c r="D149" s="90">
        <f>D203</f>
        <v>0.79999999999999716</v>
      </c>
      <c r="E149" s="89">
        <f>D204</f>
        <v>2.1000000000000085</v>
      </c>
      <c r="F149" s="89">
        <f>D205</f>
        <v>2.4000000000000057</v>
      </c>
      <c r="G149" s="89">
        <f>D206</f>
        <v>2.3999999999999915</v>
      </c>
      <c r="H149" s="91">
        <f>D207</f>
        <v>3.2000000000000028</v>
      </c>
      <c r="I149" s="91">
        <f>D208</f>
        <v>2.2000000000000028</v>
      </c>
      <c r="J149" s="92">
        <f>D209</f>
        <v>0.5</v>
      </c>
      <c r="M149" s="74" t="s">
        <v>30</v>
      </c>
      <c r="N149" s="130">
        <f>AVERAGE(Table367[X-Y Tolerance])</f>
        <v>0.93333333333333446</v>
      </c>
      <c r="O149" s="78"/>
      <c r="P149" s="135"/>
      <c r="Q149" s="21"/>
    </row>
    <row r="150" spans="1:17">
      <c r="B150" s="79">
        <f>D192</f>
        <v>0.70000000000000284</v>
      </c>
      <c r="C150" s="88">
        <f>D193</f>
        <v>0.10000000000000853</v>
      </c>
      <c r="D150" s="93">
        <f>D194</f>
        <v>0.29999999999999716</v>
      </c>
      <c r="E150" s="88">
        <f>D195</f>
        <v>0.70000000000000284</v>
      </c>
      <c r="F150" s="88">
        <f>D196</f>
        <v>1</v>
      </c>
      <c r="G150" s="88">
        <f>D197</f>
        <v>0.79999999999999716</v>
      </c>
      <c r="H150" s="10">
        <f>D198</f>
        <v>1.2000000000000028</v>
      </c>
      <c r="I150" s="10">
        <f>D199</f>
        <v>0.5</v>
      </c>
      <c r="J150" s="94">
        <f>D200</f>
        <v>0.20000000000000284</v>
      </c>
      <c r="M150" s="75" t="s">
        <v>31</v>
      </c>
      <c r="N150" s="131">
        <f>MIN(Table367[X-Y Tolerance])</f>
        <v>0</v>
      </c>
      <c r="O150" s="80" t="s">
        <v>36</v>
      </c>
      <c r="P150" s="136">
        <f>MAX(Table367[X-Y Tolerance])</f>
        <v>4.5</v>
      </c>
      <c r="Q150" s="21"/>
    </row>
    <row r="151" spans="1:17">
      <c r="B151" s="82">
        <f>D183</f>
        <v>4.5</v>
      </c>
      <c r="C151" s="95">
        <f>D184</f>
        <v>0</v>
      </c>
      <c r="D151" s="96">
        <f>D185</f>
        <v>0</v>
      </c>
      <c r="E151" s="95">
        <f>D186</f>
        <v>0.40000000000000568</v>
      </c>
      <c r="F151" s="95">
        <f>D187</f>
        <v>0.29999999999999716</v>
      </c>
      <c r="G151" s="95">
        <f>D188</f>
        <v>0.20000000000000284</v>
      </c>
      <c r="H151" s="97">
        <f>D189</f>
        <v>0</v>
      </c>
      <c r="I151" s="97">
        <f>D190</f>
        <v>0.10000000000000853</v>
      </c>
      <c r="J151" s="98">
        <f>D191</f>
        <v>0.29999999999999716</v>
      </c>
      <c r="M151" s="76" t="s">
        <v>32</v>
      </c>
      <c r="N151" s="132">
        <f>MEDIAN(Table367[X-Y Tolerance])</f>
        <v>0.5</v>
      </c>
      <c r="O151" s="83"/>
      <c r="P151" s="137"/>
      <c r="Q151" s="21"/>
    </row>
    <row r="152" spans="1:17">
      <c r="B152" s="87"/>
      <c r="C152" s="87"/>
      <c r="D152" s="104"/>
      <c r="E152" s="87"/>
      <c r="F152" s="87"/>
      <c r="G152" s="87"/>
      <c r="H152" s="105"/>
      <c r="I152" s="105"/>
      <c r="J152" s="105"/>
      <c r="M152" s="74" t="s">
        <v>33</v>
      </c>
      <c r="N152" s="130">
        <f>AVERAGE(Table367[Square Tolerance])</f>
        <v>0.64814814814814603</v>
      </c>
      <c r="O152" s="78"/>
      <c r="P152" s="135"/>
      <c r="Q152" s="21"/>
    </row>
    <row r="153" spans="1:17">
      <c r="B153" s="84" t="s">
        <v>7</v>
      </c>
      <c r="C153" s="85"/>
      <c r="D153" s="106"/>
      <c r="E153" s="85"/>
      <c r="F153" s="85"/>
      <c r="G153" s="85"/>
      <c r="H153" s="107"/>
      <c r="I153" s="107"/>
      <c r="J153" s="108"/>
      <c r="M153" s="75" t="s">
        <v>34</v>
      </c>
      <c r="N153" s="131">
        <f>MIN(Table367[Square Tolerance])</f>
        <v>0</v>
      </c>
      <c r="O153" s="80" t="s">
        <v>36</v>
      </c>
      <c r="P153" s="136">
        <f>MAX(Table367[Square Tolerance])</f>
        <v>1.8000000000000114</v>
      </c>
      <c r="Q153" s="21"/>
    </row>
    <row r="154" spans="1:17">
      <c r="B154" s="77">
        <f>G201</f>
        <v>0.5</v>
      </c>
      <c r="C154" s="89">
        <f>G202</f>
        <v>1.7999999999999829</v>
      </c>
      <c r="D154" s="90">
        <f>G203</f>
        <v>1.4000000000000057</v>
      </c>
      <c r="E154" s="89">
        <f>G204</f>
        <v>1</v>
      </c>
      <c r="F154" s="89">
        <f>G205</f>
        <v>1.6000000000000227</v>
      </c>
      <c r="G154" s="89">
        <f>G206</f>
        <v>0.79999999999998295</v>
      </c>
      <c r="H154" s="91">
        <f>G207</f>
        <v>1.3000000000000114</v>
      </c>
      <c r="I154" s="91">
        <f>G208</f>
        <v>0.79999999999998295</v>
      </c>
      <c r="J154" s="92">
        <f>G209</f>
        <v>1.5</v>
      </c>
      <c r="M154" s="76" t="s">
        <v>35</v>
      </c>
      <c r="N154" s="132">
        <f>MEDIAN(Table367[Square Tolerance])</f>
        <v>0.5</v>
      </c>
      <c r="O154" s="83"/>
      <c r="P154" s="137"/>
      <c r="Q154" s="21"/>
    </row>
    <row r="155" spans="1:17">
      <c r="B155" s="79">
        <f>G192</f>
        <v>0.5</v>
      </c>
      <c r="C155" s="88">
        <f>G193</f>
        <v>9.9999999999994316E-2</v>
      </c>
      <c r="D155" s="93">
        <f>G194</f>
        <v>9.9999999999994316E-2</v>
      </c>
      <c r="E155" s="88">
        <f>G195</f>
        <v>0</v>
      </c>
      <c r="F155" s="88">
        <f>G196</f>
        <v>0.10000000000002274</v>
      </c>
      <c r="G155" s="88">
        <f>G197</f>
        <v>0.29999999999998295</v>
      </c>
      <c r="H155" s="10">
        <f>G198</f>
        <v>9.9999999999994316E-2</v>
      </c>
      <c r="I155" s="10">
        <f>G199</f>
        <v>0.79999999999998295</v>
      </c>
      <c r="J155" s="94">
        <f>G200</f>
        <v>0.69999999999998863</v>
      </c>
      <c r="M155" s="74" t="s">
        <v>37</v>
      </c>
      <c r="N155" s="130">
        <f>AVERAGE(Table367[X Postion Error])</f>
        <v>0.14814814814814814</v>
      </c>
      <c r="O155" s="78"/>
      <c r="P155" s="135"/>
      <c r="Q155" s="21"/>
    </row>
    <row r="156" spans="1:17">
      <c r="B156" s="82">
        <f>G183</f>
        <v>1.8000000000000114</v>
      </c>
      <c r="C156" s="95">
        <f>G184</f>
        <v>0.5</v>
      </c>
      <c r="D156" s="96">
        <f>G185</f>
        <v>0.19999999999998863</v>
      </c>
      <c r="E156" s="95">
        <f>G186</f>
        <v>0.19999999999998863</v>
      </c>
      <c r="F156" s="95">
        <f>G187</f>
        <v>0.30000000000001137</v>
      </c>
      <c r="G156" s="95">
        <f>G188</f>
        <v>0</v>
      </c>
      <c r="H156" s="97">
        <f>G189</f>
        <v>9.9999999999994316E-2</v>
      </c>
      <c r="I156" s="97">
        <f>G190</f>
        <v>9.9999999999994316E-2</v>
      </c>
      <c r="J156" s="98">
        <f>G191</f>
        <v>0.90000000000000568</v>
      </c>
      <c r="M156" s="75" t="s">
        <v>38</v>
      </c>
      <c r="N156" s="131">
        <f>MIN(Table367[X Postion Error])</f>
        <v>0</v>
      </c>
      <c r="O156" s="80" t="s">
        <v>36</v>
      </c>
      <c r="P156" s="136">
        <f>MAX(Table367[X Postion Error])</f>
        <v>2</v>
      </c>
      <c r="Q156" s="21"/>
    </row>
    <row r="157" spans="1:17">
      <c r="B157" s="87"/>
      <c r="C157" s="87"/>
      <c r="D157" s="104"/>
      <c r="E157" s="87"/>
      <c r="F157" s="87"/>
      <c r="G157" s="87"/>
      <c r="H157" s="105"/>
      <c r="I157" s="105"/>
      <c r="J157" s="105"/>
      <c r="M157" s="76" t="s">
        <v>39</v>
      </c>
      <c r="N157" s="132">
        <f>MEDIAN(Table367[X Postion Error])</f>
        <v>0</v>
      </c>
      <c r="O157" s="83"/>
      <c r="P157" s="137"/>
      <c r="Q157" s="21"/>
    </row>
    <row r="158" spans="1:17">
      <c r="B158" s="84" t="s">
        <v>44</v>
      </c>
      <c r="C158" s="85"/>
      <c r="D158" s="106"/>
      <c r="E158" s="85"/>
      <c r="F158" s="85"/>
      <c r="G158" s="85"/>
      <c r="H158" s="107"/>
      <c r="I158" s="107"/>
      <c r="J158" s="108"/>
      <c r="M158" s="75" t="s">
        <v>40</v>
      </c>
      <c r="N158" s="131">
        <f>AVERAGE(Table367[Y Position Error])</f>
        <v>1.0740740740740742</v>
      </c>
      <c r="O158" s="81"/>
      <c r="P158" s="136"/>
      <c r="Q158" s="21"/>
    </row>
    <row r="159" spans="1:17">
      <c r="B159" s="77">
        <f>I201</f>
        <v>2</v>
      </c>
      <c r="C159" s="89">
        <f>I202</f>
        <v>1</v>
      </c>
      <c r="D159" s="90">
        <f>I203</f>
        <v>0</v>
      </c>
      <c r="E159" s="89">
        <f>I204</f>
        <v>0</v>
      </c>
      <c r="F159" s="89">
        <f>I205</f>
        <v>0</v>
      </c>
      <c r="G159" s="89">
        <f>I206</f>
        <v>0</v>
      </c>
      <c r="H159" s="91">
        <f>I207</f>
        <v>0</v>
      </c>
      <c r="I159" s="91">
        <f>I208</f>
        <v>0</v>
      </c>
      <c r="J159" s="92">
        <f>I209</f>
        <v>0</v>
      </c>
      <c r="M159" s="75" t="s">
        <v>41</v>
      </c>
      <c r="N159" s="131">
        <f>MIN(Table367[Y Position Error])</f>
        <v>0</v>
      </c>
      <c r="O159" s="80" t="s">
        <v>36</v>
      </c>
      <c r="P159" s="136">
        <f>MAX(Table367[Y Position Error])</f>
        <v>4</v>
      </c>
      <c r="Q159" s="21"/>
    </row>
    <row r="160" spans="1:17">
      <c r="B160" s="79">
        <f>I201</f>
        <v>2</v>
      </c>
      <c r="C160" s="88">
        <f>I193</f>
        <v>0</v>
      </c>
      <c r="D160" s="93">
        <f>I194</f>
        <v>0</v>
      </c>
      <c r="E160" s="88">
        <f>I195</f>
        <v>0</v>
      </c>
      <c r="F160" s="88">
        <f>I196</f>
        <v>0</v>
      </c>
      <c r="G160" s="88">
        <f>I197</f>
        <v>0</v>
      </c>
      <c r="H160" s="10">
        <f>I198</f>
        <v>0</v>
      </c>
      <c r="I160" s="10">
        <f>I199</f>
        <v>0</v>
      </c>
      <c r="J160" s="94">
        <f>I200</f>
        <v>0</v>
      </c>
      <c r="M160" s="76" t="s">
        <v>42</v>
      </c>
      <c r="N160" s="132">
        <f>-MEDIAN(Table367[Y Position Error])</f>
        <v>-1</v>
      </c>
      <c r="O160" s="83"/>
      <c r="P160" s="137"/>
      <c r="Q160" s="21"/>
    </row>
    <row r="161" spans="1:17">
      <c r="B161" s="82">
        <f>I183</f>
        <v>0</v>
      </c>
      <c r="C161" s="95">
        <f>I184</f>
        <v>0</v>
      </c>
      <c r="D161" s="96">
        <f>I185</f>
        <v>0</v>
      </c>
      <c r="E161" s="95">
        <f>I186</f>
        <v>0</v>
      </c>
      <c r="F161" s="95">
        <f>I188</f>
        <v>0</v>
      </c>
      <c r="G161" s="95">
        <f>I188</f>
        <v>0</v>
      </c>
      <c r="H161" s="97">
        <f>I189</f>
        <v>0</v>
      </c>
      <c r="I161" s="97">
        <f>I190</f>
        <v>0</v>
      </c>
      <c r="J161" s="98">
        <f>I191</f>
        <v>0</v>
      </c>
      <c r="Q161" s="21"/>
    </row>
    <row r="162" spans="1:17">
      <c r="B162" s="87"/>
      <c r="C162" s="87"/>
      <c r="D162" s="104"/>
      <c r="E162" s="87"/>
      <c r="F162" s="87"/>
      <c r="G162" s="87"/>
      <c r="H162" s="105"/>
      <c r="I162" s="105"/>
      <c r="J162" s="105"/>
      <c r="Q162" s="21"/>
    </row>
    <row r="163" spans="1:17">
      <c r="B163" s="84" t="s">
        <v>14</v>
      </c>
      <c r="C163" s="85"/>
      <c r="D163" s="106"/>
      <c r="E163" s="85"/>
      <c r="F163" s="85"/>
      <c r="G163" s="85"/>
      <c r="H163" s="107"/>
      <c r="I163" s="107"/>
      <c r="J163" s="108"/>
      <c r="Q163" s="21"/>
    </row>
    <row r="164" spans="1:17">
      <c r="B164" s="77">
        <f>K201</f>
        <v>4</v>
      </c>
      <c r="C164" s="89">
        <f>K202</f>
        <v>2</v>
      </c>
      <c r="D164" s="90">
        <f>K203</f>
        <v>3</v>
      </c>
      <c r="E164" s="89">
        <f>K204</f>
        <v>3</v>
      </c>
      <c r="F164" s="89">
        <f>K205</f>
        <v>3</v>
      </c>
      <c r="G164" s="89">
        <f>K206</f>
        <v>3</v>
      </c>
      <c r="H164" s="91">
        <f>K207</f>
        <v>2</v>
      </c>
      <c r="I164" s="91">
        <f>K208</f>
        <v>1</v>
      </c>
      <c r="J164" s="92">
        <f>K209</f>
        <v>1</v>
      </c>
      <c r="Q164" s="21"/>
    </row>
    <row r="165" spans="1:17">
      <c r="B165" s="79">
        <f>K192</f>
        <v>3</v>
      </c>
      <c r="C165" s="88">
        <f>K193</f>
        <v>1</v>
      </c>
      <c r="D165" s="93">
        <f>K194</f>
        <v>1</v>
      </c>
      <c r="E165" s="88">
        <f>K195</f>
        <v>1</v>
      </c>
      <c r="F165" s="88">
        <f>K196</f>
        <v>1</v>
      </c>
      <c r="G165" s="88">
        <f>K197</f>
        <v>0</v>
      </c>
      <c r="H165" s="10">
        <f>K198</f>
        <v>0</v>
      </c>
      <c r="I165" s="10">
        <f>K199</f>
        <v>0</v>
      </c>
      <c r="J165" s="94">
        <f>K200</f>
        <v>0</v>
      </c>
      <c r="Q165" s="21"/>
    </row>
    <row r="166" spans="1:17">
      <c r="B166" s="82">
        <f>K183</f>
        <v>0</v>
      </c>
      <c r="C166" s="95">
        <f>K184</f>
        <v>0</v>
      </c>
      <c r="D166" s="96">
        <f>K185</f>
        <v>0</v>
      </c>
      <c r="E166" s="95">
        <f>K186</f>
        <v>0</v>
      </c>
      <c r="F166" s="95">
        <f>K187</f>
        <v>0</v>
      </c>
      <c r="G166" s="95">
        <f>K188</f>
        <v>0</v>
      </c>
      <c r="H166" s="97">
        <f>K189</f>
        <v>0</v>
      </c>
      <c r="I166" s="97">
        <f>K190</f>
        <v>0</v>
      </c>
      <c r="J166" s="98">
        <f>K191</f>
        <v>0</v>
      </c>
      <c r="Q166" s="21"/>
    </row>
    <row r="167" spans="1:17">
      <c r="B167" s="87"/>
      <c r="C167" s="87"/>
      <c r="D167" s="104"/>
      <c r="E167" s="87"/>
      <c r="F167" s="87"/>
      <c r="G167" s="87"/>
      <c r="H167" s="105"/>
      <c r="I167" s="105"/>
      <c r="J167" s="105"/>
      <c r="Q167" s="21"/>
    </row>
    <row r="168" spans="1:17">
      <c r="A168" s="109" t="s">
        <v>52</v>
      </c>
      <c r="B168" s="110"/>
      <c r="C168" s="110"/>
      <c r="D168" s="110"/>
      <c r="E168" s="110" t="s">
        <v>53</v>
      </c>
      <c r="F168" s="110"/>
      <c r="G168" s="110"/>
      <c r="H168" s="110"/>
      <c r="I168" s="110"/>
      <c r="J168" s="110"/>
      <c r="K168" s="112"/>
      <c r="Q168" s="21"/>
    </row>
    <row r="169" spans="1:17">
      <c r="A169" s="82">
        <f>(SUM(G172:G177)/6)</f>
        <v>1.5833333333333333</v>
      </c>
      <c r="B169" s="95"/>
      <c r="C169" s="95">
        <f>(D172+D173+D177+D178+M172+M173+M177+M178)/8</f>
        <v>0.50499999999999723</v>
      </c>
      <c r="D169" s="96"/>
      <c r="E169" s="95">
        <v>6.12</v>
      </c>
      <c r="F169" s="95"/>
      <c r="G169" s="95"/>
      <c r="H169" s="97"/>
      <c r="I169" s="97"/>
      <c r="J169" s="97"/>
      <c r="K169" s="98"/>
      <c r="Q169" s="21"/>
    </row>
    <row r="170" spans="1:17">
      <c r="B170" s="87"/>
      <c r="C170" s="87"/>
      <c r="D170" s="104"/>
      <c r="E170" s="87"/>
      <c r="F170" s="87"/>
      <c r="G170" s="87"/>
      <c r="H170" s="105"/>
      <c r="I170" s="105"/>
      <c r="J170" s="105"/>
      <c r="Q170" s="21"/>
    </row>
    <row r="171" spans="1:17">
      <c r="A171" s="77" t="s">
        <v>47</v>
      </c>
      <c r="B171" s="138"/>
      <c r="C171" s="74"/>
      <c r="D171" s="104"/>
      <c r="E171" s="84"/>
      <c r="F171" s="85"/>
      <c r="G171" s="139"/>
      <c r="H171" s="105"/>
      <c r="I171" s="77" t="s">
        <v>47</v>
      </c>
      <c r="J171" s="89"/>
      <c r="K171" s="74"/>
      <c r="M171" s="133"/>
      <c r="N171" s="133"/>
      <c r="O171" s="72"/>
      <c r="P171" s="21"/>
      <c r="Q171" s="21"/>
    </row>
    <row r="172" spans="1:17">
      <c r="A172" s="77" t="s">
        <v>48</v>
      </c>
      <c r="B172" s="74">
        <v>93.2</v>
      </c>
      <c r="C172" s="74">
        <f>B172+$E$35</f>
        <v>99.320000000000007</v>
      </c>
      <c r="D172" s="146">
        <f>ABS(C172-100)</f>
        <v>0.67999999999999261</v>
      </c>
      <c r="E172" s="77" t="s">
        <v>54</v>
      </c>
      <c r="F172" s="89">
        <v>905</v>
      </c>
      <c r="G172" s="74">
        <f>ABS(900-F172)</f>
        <v>5</v>
      </c>
      <c r="H172" s="105"/>
      <c r="I172" s="77" t="s">
        <v>48</v>
      </c>
      <c r="J172" s="77">
        <v>93.7</v>
      </c>
      <c r="K172" s="74">
        <f>J172+$E$35</f>
        <v>99.820000000000007</v>
      </c>
      <c r="M172" s="146">
        <f>ABS(K172-100)</f>
        <v>0.17999999999999261</v>
      </c>
      <c r="N172" s="72"/>
      <c r="P172" s="21"/>
      <c r="Q172" s="21"/>
    </row>
    <row r="173" spans="1:17">
      <c r="A173" s="82" t="s">
        <v>49</v>
      </c>
      <c r="B173" s="76">
        <v>93.3</v>
      </c>
      <c r="C173" s="76">
        <f>B173+$E$35</f>
        <v>99.42</v>
      </c>
      <c r="D173" s="146">
        <f>ABS(C173-100)</f>
        <v>0.57999999999999829</v>
      </c>
      <c r="E173" s="79" t="s">
        <v>55</v>
      </c>
      <c r="F173" s="88">
        <v>898</v>
      </c>
      <c r="G173" s="75">
        <f t="shared" ref="G173:G174" si="14">ABS(900-F173)</f>
        <v>2</v>
      </c>
      <c r="H173" s="105"/>
      <c r="I173" s="82" t="s">
        <v>49</v>
      </c>
      <c r="J173" s="82">
        <v>92.5</v>
      </c>
      <c r="K173" s="76">
        <f>J173+$E$35</f>
        <v>98.62</v>
      </c>
      <c r="M173" s="146">
        <f>ABS(K173-100)</f>
        <v>1.3799999999999955</v>
      </c>
      <c r="N173" s="72"/>
      <c r="P173" s="21"/>
      <c r="Q173" s="21"/>
    </row>
    <row r="174" spans="1:17">
      <c r="A174" s="82" t="s">
        <v>50</v>
      </c>
      <c r="B174" s="76">
        <f>ABS(B172-B173)</f>
        <v>9.9999999999994316E-2</v>
      </c>
      <c r="C174" s="76">
        <f>ABS(C172-C173)</f>
        <v>9.9999999999994316E-2</v>
      </c>
      <c r="D174" s="146"/>
      <c r="E174" s="79" t="s">
        <v>56</v>
      </c>
      <c r="F174" s="88">
        <v>899</v>
      </c>
      <c r="G174" s="75">
        <f t="shared" si="14"/>
        <v>1</v>
      </c>
      <c r="H174" s="105"/>
      <c r="I174" s="82" t="s">
        <v>50</v>
      </c>
      <c r="J174" s="82">
        <f>ABS(J172-J173)</f>
        <v>1.2000000000000028</v>
      </c>
      <c r="K174" s="76">
        <f>ABS(K172-K173)</f>
        <v>1.2000000000000028</v>
      </c>
      <c r="M174" s="147"/>
      <c r="N174" s="72"/>
      <c r="P174" s="21"/>
      <c r="Q174" s="21"/>
    </row>
    <row r="175" spans="1:17">
      <c r="A175" s="87"/>
      <c r="B175" s="87"/>
      <c r="C175" s="87"/>
      <c r="D175" s="146"/>
      <c r="E175" s="79" t="s">
        <v>57</v>
      </c>
      <c r="F175" s="88">
        <v>1906</v>
      </c>
      <c r="G175" s="75">
        <f>ABS(1905-F175)</f>
        <v>1</v>
      </c>
      <c r="H175" s="105"/>
      <c r="I175" s="87"/>
      <c r="J175" s="87"/>
      <c r="K175" s="87"/>
      <c r="M175" s="147"/>
    </row>
    <row r="176" spans="1:17">
      <c r="A176" s="77" t="s">
        <v>51</v>
      </c>
      <c r="B176" s="138"/>
      <c r="C176" s="74"/>
      <c r="D176" s="146"/>
      <c r="E176" s="79" t="s">
        <v>58</v>
      </c>
      <c r="F176" s="88">
        <v>1905</v>
      </c>
      <c r="G176" s="75">
        <f t="shared" ref="G176:G177" si="15">ABS(1905-F176)</f>
        <v>0</v>
      </c>
      <c r="H176" s="105"/>
      <c r="I176" s="77" t="s">
        <v>51</v>
      </c>
      <c r="J176" s="89"/>
      <c r="K176" s="74"/>
      <c r="M176" s="147"/>
      <c r="Q176" s="21"/>
    </row>
    <row r="177" spans="1:17">
      <c r="A177" s="77" t="s">
        <v>48</v>
      </c>
      <c r="B177" s="74">
        <v>93.6</v>
      </c>
      <c r="C177" s="74">
        <f>B177+$E$35</f>
        <v>99.72</v>
      </c>
      <c r="D177" s="146">
        <f>ABS(C177-100)</f>
        <v>0.28000000000000114</v>
      </c>
      <c r="E177" s="82" t="s">
        <v>59</v>
      </c>
      <c r="F177" s="95">
        <v>1904.5</v>
      </c>
      <c r="G177" s="76">
        <f t="shared" si="15"/>
        <v>0.5</v>
      </c>
      <c r="H177" s="105"/>
      <c r="I177" s="77" t="s">
        <v>48</v>
      </c>
      <c r="J177" s="77">
        <v>93.8</v>
      </c>
      <c r="K177" s="74">
        <f>J177+$E$35</f>
        <v>99.92</v>
      </c>
      <c r="M177" s="146">
        <f>ABS(K177-100)</f>
        <v>7.9999999999998295E-2</v>
      </c>
      <c r="Q177" s="21"/>
    </row>
    <row r="178" spans="1:17">
      <c r="A178" s="82" t="s">
        <v>49</v>
      </c>
      <c r="B178" s="76">
        <v>93.3</v>
      </c>
      <c r="C178" s="76">
        <f>B178+$E$35</f>
        <v>99.42</v>
      </c>
      <c r="D178" s="146">
        <f>ABS(C178-100)</f>
        <v>0.57999999999999829</v>
      </c>
      <c r="E178" s="87"/>
      <c r="H178" s="105"/>
      <c r="I178" s="82" t="s">
        <v>49</v>
      </c>
      <c r="J178" s="82">
        <v>93.6</v>
      </c>
      <c r="K178" s="76">
        <f>J178+$E$35</f>
        <v>99.72</v>
      </c>
      <c r="M178" s="146">
        <f>ABS(K178-100)</f>
        <v>0.28000000000000114</v>
      </c>
      <c r="Q178" s="21"/>
    </row>
    <row r="179" spans="1:17">
      <c r="A179" s="82" t="s">
        <v>50</v>
      </c>
      <c r="B179" s="76">
        <f>ABS(B177-B178)</f>
        <v>0.29999999999999716</v>
      </c>
      <c r="C179" s="76">
        <f>ABS(C177-C178)</f>
        <v>0.29999999999999716</v>
      </c>
      <c r="D179" s="104"/>
      <c r="H179" s="105"/>
      <c r="I179" s="82" t="s">
        <v>50</v>
      </c>
      <c r="J179" s="82">
        <f>ABS(J177-J178)</f>
        <v>0.20000000000000284</v>
      </c>
      <c r="K179" s="76">
        <f>ABS(K177-K178)</f>
        <v>0.20000000000000284</v>
      </c>
      <c r="Q179" s="21"/>
    </row>
    <row r="180" spans="1:17">
      <c r="B180" s="87"/>
      <c r="C180" s="87"/>
      <c r="D180" s="104"/>
      <c r="E180" s="87"/>
      <c r="F180" s="87"/>
      <c r="G180" s="87"/>
      <c r="H180" s="105"/>
      <c r="I180" s="105"/>
      <c r="J180" s="105"/>
      <c r="N180" s="21"/>
      <c r="P180" s="21"/>
      <c r="Q180" s="21"/>
    </row>
    <row r="182" spans="1:17" ht="30">
      <c r="A182" s="39" t="s">
        <v>1</v>
      </c>
      <c r="B182" s="16" t="s">
        <v>2</v>
      </c>
      <c r="C182" s="17" t="s">
        <v>3</v>
      </c>
      <c r="D182" s="18" t="s">
        <v>4</v>
      </c>
      <c r="E182" s="17" t="s">
        <v>5</v>
      </c>
      <c r="F182" s="17" t="s">
        <v>6</v>
      </c>
      <c r="G182" s="18" t="s">
        <v>7</v>
      </c>
      <c r="H182" s="19" t="s">
        <v>11</v>
      </c>
      <c r="I182" s="18" t="s">
        <v>12</v>
      </c>
      <c r="J182" s="19" t="s">
        <v>13</v>
      </c>
      <c r="K182" s="40" t="s">
        <v>14</v>
      </c>
      <c r="N182" s="21"/>
      <c r="P182" s="21"/>
      <c r="Q182" s="21"/>
    </row>
    <row r="183" spans="1:17">
      <c r="A183" s="41">
        <v>1</v>
      </c>
      <c r="B183" s="3">
        <v>97</v>
      </c>
      <c r="C183" s="2">
        <v>101.5</v>
      </c>
      <c r="D183" s="151">
        <f t="shared" ref="D183:D209" si="16">ABS(B183-C183)</f>
        <v>4.5</v>
      </c>
      <c r="E183" s="2">
        <v>135.5</v>
      </c>
      <c r="F183" s="2">
        <v>137.30000000000001</v>
      </c>
      <c r="G183" s="154">
        <f t="shared" ref="G183:G209" si="17">ABS(E183-F183)</f>
        <v>1.8000000000000114</v>
      </c>
      <c r="H183" s="9">
        <v>850</v>
      </c>
      <c r="I183" s="121">
        <f>ABS(H183-850)</f>
        <v>0</v>
      </c>
      <c r="J183" s="124">
        <v>0</v>
      </c>
      <c r="K183" s="59">
        <f>ABS(J183-0)</f>
        <v>0</v>
      </c>
      <c r="N183" s="21"/>
      <c r="P183" s="21"/>
      <c r="Q183" s="21"/>
    </row>
    <row r="184" spans="1:17">
      <c r="A184" s="41">
        <v>2</v>
      </c>
      <c r="B184" s="3">
        <v>99.5</v>
      </c>
      <c r="C184" s="2">
        <v>99.5</v>
      </c>
      <c r="D184" s="151">
        <f t="shared" si="16"/>
        <v>0</v>
      </c>
      <c r="E184" s="2">
        <v>139.80000000000001</v>
      </c>
      <c r="F184" s="2">
        <v>140.30000000000001</v>
      </c>
      <c r="G184" s="154">
        <f t="shared" si="17"/>
        <v>0.5</v>
      </c>
      <c r="H184" s="9">
        <v>600</v>
      </c>
      <c r="I184" s="121">
        <f>ABS(H184-600)</f>
        <v>0</v>
      </c>
      <c r="J184" s="118">
        <v>0</v>
      </c>
      <c r="K184" s="59">
        <f t="shared" ref="K184:K191" si="18">ABS(J184-0)</f>
        <v>0</v>
      </c>
      <c r="N184" s="21"/>
      <c r="P184" s="21"/>
      <c r="Q184" s="21"/>
    </row>
    <row r="185" spans="1:17">
      <c r="A185" s="41">
        <v>3</v>
      </c>
      <c r="B185" s="3">
        <v>99.7</v>
      </c>
      <c r="C185" s="2">
        <v>99.7</v>
      </c>
      <c r="D185" s="151">
        <f t="shared" si="16"/>
        <v>0</v>
      </c>
      <c r="E185" s="2">
        <v>140.30000000000001</v>
      </c>
      <c r="F185" s="2">
        <v>140.5</v>
      </c>
      <c r="G185" s="154">
        <f t="shared" si="17"/>
        <v>0.19999999999998863</v>
      </c>
      <c r="H185" s="9">
        <v>350</v>
      </c>
      <c r="I185" s="121">
        <f>ABS(H185-350)</f>
        <v>0</v>
      </c>
      <c r="J185" s="118">
        <v>0</v>
      </c>
      <c r="K185" s="59">
        <f t="shared" si="18"/>
        <v>0</v>
      </c>
      <c r="N185" s="21"/>
      <c r="P185" s="21"/>
      <c r="Q185" s="21"/>
    </row>
    <row r="186" spans="1:17">
      <c r="A186" s="41">
        <v>4</v>
      </c>
      <c r="B186" s="3">
        <v>99.9</v>
      </c>
      <c r="C186" s="2">
        <v>99.5</v>
      </c>
      <c r="D186" s="151">
        <f t="shared" si="16"/>
        <v>0.40000000000000568</v>
      </c>
      <c r="E186" s="2">
        <v>140.69999999999999</v>
      </c>
      <c r="F186" s="2">
        <v>140.5</v>
      </c>
      <c r="G186" s="154">
        <f t="shared" si="17"/>
        <v>0.19999999999998863</v>
      </c>
      <c r="H186" s="9">
        <v>100</v>
      </c>
      <c r="I186" s="121">
        <f>ABS(H186-100)</f>
        <v>0</v>
      </c>
      <c r="J186" s="118">
        <v>0</v>
      </c>
      <c r="K186" s="59">
        <f t="shared" si="18"/>
        <v>0</v>
      </c>
      <c r="N186" s="21"/>
      <c r="P186" s="21"/>
      <c r="Q186" s="21"/>
    </row>
    <row r="187" spans="1:17">
      <c r="A187" s="41">
        <v>5</v>
      </c>
      <c r="B187" s="3">
        <v>100</v>
      </c>
      <c r="C187" s="2">
        <v>99.7</v>
      </c>
      <c r="D187" s="151">
        <f t="shared" si="16"/>
        <v>0.29999999999999716</v>
      </c>
      <c r="E187" s="2">
        <v>140.80000000000001</v>
      </c>
      <c r="F187" s="2">
        <v>140.5</v>
      </c>
      <c r="G187" s="154">
        <f t="shared" si="17"/>
        <v>0.30000000000001137</v>
      </c>
      <c r="H187" s="9" t="s">
        <v>16</v>
      </c>
      <c r="I187" s="121">
        <v>0</v>
      </c>
      <c r="J187" s="118" t="s">
        <v>16</v>
      </c>
      <c r="K187" s="59">
        <v>0</v>
      </c>
      <c r="N187" s="21"/>
      <c r="P187" s="21"/>
      <c r="Q187" s="21"/>
    </row>
    <row r="188" spans="1:17">
      <c r="A188" s="41">
        <v>6</v>
      </c>
      <c r="B188" s="3">
        <v>99.8</v>
      </c>
      <c r="C188" s="2">
        <v>99.6</v>
      </c>
      <c r="D188" s="151">
        <f t="shared" si="16"/>
        <v>0.20000000000000284</v>
      </c>
      <c r="E188" s="2">
        <v>140.5</v>
      </c>
      <c r="F188" s="2">
        <v>140.5</v>
      </c>
      <c r="G188" s="154">
        <f t="shared" si="17"/>
        <v>0</v>
      </c>
      <c r="H188" s="9">
        <v>100</v>
      </c>
      <c r="I188" s="121">
        <f>ABS(H188-100)</f>
        <v>0</v>
      </c>
      <c r="J188" s="118">
        <v>0</v>
      </c>
      <c r="K188" s="59">
        <f t="shared" si="18"/>
        <v>0</v>
      </c>
      <c r="N188" s="21"/>
      <c r="P188" s="21"/>
      <c r="Q188" s="21"/>
    </row>
    <row r="189" spans="1:17">
      <c r="A189" s="41">
        <v>7</v>
      </c>
      <c r="B189" s="3">
        <v>100</v>
      </c>
      <c r="C189" s="2">
        <v>100</v>
      </c>
      <c r="D189" s="151">
        <f t="shared" si="16"/>
        <v>0</v>
      </c>
      <c r="E189" s="2">
        <v>140.9</v>
      </c>
      <c r="F189" s="2">
        <v>140.80000000000001</v>
      </c>
      <c r="G189" s="154">
        <f t="shared" si="17"/>
        <v>9.9999999999994316E-2</v>
      </c>
      <c r="H189" s="9">
        <v>350</v>
      </c>
      <c r="I189" s="121">
        <f>ABS(H189-350)</f>
        <v>0</v>
      </c>
      <c r="J189" s="118">
        <v>0</v>
      </c>
      <c r="K189" s="59">
        <f t="shared" si="18"/>
        <v>0</v>
      </c>
      <c r="N189" s="21"/>
      <c r="P189" s="21"/>
      <c r="Q189" s="21"/>
    </row>
    <row r="190" spans="1:17">
      <c r="A190" s="41">
        <v>8</v>
      </c>
      <c r="B190" s="3">
        <v>99.7</v>
      </c>
      <c r="C190" s="2">
        <v>99.6</v>
      </c>
      <c r="D190" s="151">
        <f t="shared" si="16"/>
        <v>0.10000000000000853</v>
      </c>
      <c r="E190" s="2">
        <v>140.4</v>
      </c>
      <c r="F190" s="2">
        <v>140.30000000000001</v>
      </c>
      <c r="G190" s="154">
        <f t="shared" si="17"/>
        <v>9.9999999999994316E-2</v>
      </c>
      <c r="H190" s="9">
        <v>600</v>
      </c>
      <c r="I190" s="121">
        <f>ABS(H190-600)</f>
        <v>0</v>
      </c>
      <c r="J190" s="118">
        <v>0</v>
      </c>
      <c r="K190" s="59">
        <f t="shared" si="18"/>
        <v>0</v>
      </c>
      <c r="N190" s="21"/>
      <c r="P190" s="21"/>
      <c r="Q190" s="21"/>
    </row>
    <row r="191" spans="1:17">
      <c r="A191" s="42">
        <v>9</v>
      </c>
      <c r="B191" s="5">
        <v>99.4</v>
      </c>
      <c r="C191" s="1">
        <v>99.7</v>
      </c>
      <c r="D191" s="152">
        <f t="shared" si="16"/>
        <v>0.29999999999999716</v>
      </c>
      <c r="E191" s="1">
        <v>140.5</v>
      </c>
      <c r="F191" s="1">
        <v>139.6</v>
      </c>
      <c r="G191" s="155">
        <f t="shared" si="17"/>
        <v>0.90000000000000568</v>
      </c>
      <c r="H191" s="11">
        <v>850</v>
      </c>
      <c r="I191" s="121">
        <f>ABS(H191-850)</f>
        <v>0</v>
      </c>
      <c r="J191" s="119">
        <v>0</v>
      </c>
      <c r="K191" s="61">
        <f t="shared" si="18"/>
        <v>0</v>
      </c>
      <c r="N191" s="21"/>
      <c r="P191" s="21"/>
      <c r="Q191" s="21"/>
    </row>
    <row r="192" spans="1:17">
      <c r="A192" s="41">
        <v>10</v>
      </c>
      <c r="B192" s="3">
        <v>99.3</v>
      </c>
      <c r="C192" s="2">
        <v>100</v>
      </c>
      <c r="D192" s="151">
        <f t="shared" si="16"/>
        <v>0.70000000000000284</v>
      </c>
      <c r="E192" s="2">
        <v>139.9</v>
      </c>
      <c r="F192" s="2">
        <v>140.4</v>
      </c>
      <c r="G192" s="154">
        <f t="shared" si="17"/>
        <v>0.5</v>
      </c>
      <c r="H192" s="9">
        <v>851</v>
      </c>
      <c r="I192" s="121">
        <f>ABS(H192-850)</f>
        <v>1</v>
      </c>
      <c r="J192" s="125">
        <v>293</v>
      </c>
      <c r="K192" s="62">
        <f>ABS(J192-296)</f>
        <v>3</v>
      </c>
      <c r="N192" s="21"/>
      <c r="P192" s="21"/>
      <c r="Q192" s="21"/>
    </row>
    <row r="193" spans="1:17">
      <c r="A193" s="41">
        <v>11</v>
      </c>
      <c r="B193" s="3">
        <v>99.6</v>
      </c>
      <c r="C193" s="2">
        <v>99.7</v>
      </c>
      <c r="D193" s="151">
        <f t="shared" si="16"/>
        <v>0.10000000000000853</v>
      </c>
      <c r="E193" s="2">
        <v>140.6</v>
      </c>
      <c r="F193" s="2">
        <v>140.69999999999999</v>
      </c>
      <c r="G193" s="154">
        <f t="shared" si="17"/>
        <v>9.9999999999994316E-2</v>
      </c>
      <c r="H193" s="9">
        <v>600</v>
      </c>
      <c r="I193" s="121">
        <f>ABS(H193-600)</f>
        <v>0</v>
      </c>
      <c r="J193" s="126">
        <v>295</v>
      </c>
      <c r="K193" s="70">
        <f t="shared" ref="K193:K200" si="19">ABS(J193-296)</f>
        <v>1</v>
      </c>
      <c r="N193" s="21"/>
      <c r="P193" s="21"/>
      <c r="Q193" s="21"/>
    </row>
    <row r="194" spans="1:17">
      <c r="A194" s="41">
        <v>12</v>
      </c>
      <c r="B194" s="3">
        <v>99.8</v>
      </c>
      <c r="C194" s="2">
        <v>99.5</v>
      </c>
      <c r="D194" s="151">
        <f t="shared" si="16"/>
        <v>0.29999999999999716</v>
      </c>
      <c r="E194" s="2">
        <v>140.19999999999999</v>
      </c>
      <c r="F194" s="2">
        <v>140.1</v>
      </c>
      <c r="G194" s="154">
        <f t="shared" si="17"/>
        <v>9.9999999999994316E-2</v>
      </c>
      <c r="H194" s="9">
        <v>350</v>
      </c>
      <c r="I194" s="121">
        <f>ABS(H194-350)</f>
        <v>0</v>
      </c>
      <c r="J194" s="126">
        <v>295</v>
      </c>
      <c r="K194" s="70">
        <f t="shared" si="19"/>
        <v>1</v>
      </c>
      <c r="N194" s="21"/>
      <c r="P194" s="21"/>
      <c r="Q194" s="21"/>
    </row>
    <row r="195" spans="1:17">
      <c r="A195" s="41">
        <v>13</v>
      </c>
      <c r="B195" s="3">
        <v>99.8</v>
      </c>
      <c r="C195" s="2">
        <v>99.1</v>
      </c>
      <c r="D195" s="151">
        <f t="shared" si="16"/>
        <v>0.70000000000000284</v>
      </c>
      <c r="E195" s="2">
        <v>139.30000000000001</v>
      </c>
      <c r="F195" s="2">
        <v>139.30000000000001</v>
      </c>
      <c r="G195" s="154">
        <f t="shared" si="17"/>
        <v>0</v>
      </c>
      <c r="H195" s="9">
        <v>100</v>
      </c>
      <c r="I195" s="121">
        <f>ABS(H195-100)</f>
        <v>0</v>
      </c>
      <c r="J195" s="126">
        <v>295</v>
      </c>
      <c r="K195" s="70">
        <f t="shared" si="19"/>
        <v>1</v>
      </c>
      <c r="N195" s="21"/>
      <c r="P195" s="21"/>
      <c r="Q195" s="21"/>
    </row>
    <row r="196" spans="1:17">
      <c r="A196" s="41">
        <v>14</v>
      </c>
      <c r="B196" s="3">
        <v>100</v>
      </c>
      <c r="C196" s="2">
        <v>99</v>
      </c>
      <c r="D196" s="151">
        <f t="shared" si="16"/>
        <v>1</v>
      </c>
      <c r="E196" s="2">
        <v>140.30000000000001</v>
      </c>
      <c r="F196" s="2">
        <v>140.19999999999999</v>
      </c>
      <c r="G196" s="154">
        <f t="shared" si="17"/>
        <v>0.10000000000002274</v>
      </c>
      <c r="H196" s="9" t="s">
        <v>16</v>
      </c>
      <c r="I196" s="121">
        <v>0</v>
      </c>
      <c r="J196" s="126">
        <v>295</v>
      </c>
      <c r="K196" s="70">
        <f t="shared" si="19"/>
        <v>1</v>
      </c>
      <c r="N196" s="21"/>
      <c r="P196" s="21"/>
      <c r="Q196" s="21"/>
    </row>
    <row r="197" spans="1:17">
      <c r="A197" s="41">
        <v>15</v>
      </c>
      <c r="B197" s="3">
        <v>100</v>
      </c>
      <c r="C197" s="2">
        <v>99.2</v>
      </c>
      <c r="D197" s="151">
        <f t="shared" si="16"/>
        <v>0.79999999999999716</v>
      </c>
      <c r="E197" s="2">
        <v>140.4</v>
      </c>
      <c r="F197" s="2">
        <v>140.69999999999999</v>
      </c>
      <c r="G197" s="154">
        <f t="shared" si="17"/>
        <v>0.29999999999998295</v>
      </c>
      <c r="H197" s="9">
        <v>100</v>
      </c>
      <c r="I197" s="121">
        <f>ABS(H197-100)</f>
        <v>0</v>
      </c>
      <c r="J197" s="126">
        <v>296</v>
      </c>
      <c r="K197" s="70">
        <f t="shared" si="19"/>
        <v>0</v>
      </c>
      <c r="N197" s="21"/>
      <c r="P197" s="21"/>
      <c r="Q197" s="21"/>
    </row>
    <row r="198" spans="1:17">
      <c r="A198" s="41">
        <v>16</v>
      </c>
      <c r="B198" s="3">
        <v>100.4</v>
      </c>
      <c r="C198" s="2">
        <v>99.2</v>
      </c>
      <c r="D198" s="151">
        <f t="shared" si="16"/>
        <v>1.2000000000000028</v>
      </c>
      <c r="E198" s="2">
        <v>140.6</v>
      </c>
      <c r="F198" s="2">
        <v>140.69999999999999</v>
      </c>
      <c r="G198" s="154">
        <f t="shared" si="17"/>
        <v>9.9999999999994316E-2</v>
      </c>
      <c r="H198" s="9">
        <v>350</v>
      </c>
      <c r="I198" s="121">
        <f>ABS(H198-350)</f>
        <v>0</v>
      </c>
      <c r="J198" s="126">
        <v>296</v>
      </c>
      <c r="K198" s="70">
        <f t="shared" si="19"/>
        <v>0</v>
      </c>
      <c r="N198" s="21"/>
      <c r="P198" s="21"/>
      <c r="Q198" s="21"/>
    </row>
    <row r="199" spans="1:17">
      <c r="A199" s="41">
        <v>17</v>
      </c>
      <c r="B199" s="3">
        <v>100</v>
      </c>
      <c r="C199" s="2">
        <v>99.5</v>
      </c>
      <c r="D199" s="151">
        <f t="shared" si="16"/>
        <v>0.5</v>
      </c>
      <c r="E199" s="2">
        <v>140.30000000000001</v>
      </c>
      <c r="F199" s="2">
        <v>141.1</v>
      </c>
      <c r="G199" s="154">
        <f t="shared" si="17"/>
        <v>0.79999999999998295</v>
      </c>
      <c r="H199" s="9">
        <v>600</v>
      </c>
      <c r="I199" s="121">
        <f>ABS(H199-600)</f>
        <v>0</v>
      </c>
      <c r="J199" s="126">
        <v>296</v>
      </c>
      <c r="K199" s="70">
        <f t="shared" si="19"/>
        <v>0</v>
      </c>
      <c r="N199" s="21"/>
      <c r="P199" s="21"/>
      <c r="Q199" s="21"/>
    </row>
    <row r="200" spans="1:17">
      <c r="A200" s="42">
        <v>18</v>
      </c>
      <c r="B200" s="5">
        <v>99.7</v>
      </c>
      <c r="C200" s="1">
        <v>99.5</v>
      </c>
      <c r="D200" s="152">
        <f t="shared" si="16"/>
        <v>0.20000000000000284</v>
      </c>
      <c r="E200" s="1">
        <v>140.5</v>
      </c>
      <c r="F200" s="1">
        <v>139.80000000000001</v>
      </c>
      <c r="G200" s="155">
        <f t="shared" si="17"/>
        <v>0.69999999999998863</v>
      </c>
      <c r="H200" s="11">
        <v>850</v>
      </c>
      <c r="I200" s="121">
        <f>ABS(H200-850)</f>
        <v>0</v>
      </c>
      <c r="J200" s="127">
        <v>296</v>
      </c>
      <c r="K200" s="59">
        <f t="shared" si="19"/>
        <v>0</v>
      </c>
      <c r="N200" s="21"/>
      <c r="P200" s="21"/>
      <c r="Q200" s="21"/>
    </row>
    <row r="201" spans="1:17">
      <c r="A201" s="41">
        <v>19</v>
      </c>
      <c r="B201" s="3">
        <v>99.4</v>
      </c>
      <c r="C201" s="2">
        <v>99.5</v>
      </c>
      <c r="D201" s="151">
        <f t="shared" si="16"/>
        <v>9.9999999999994316E-2</v>
      </c>
      <c r="E201" s="2">
        <v>139.69999999999999</v>
      </c>
      <c r="F201" s="2">
        <v>140.19999999999999</v>
      </c>
      <c r="G201" s="154">
        <f t="shared" si="17"/>
        <v>0.5</v>
      </c>
      <c r="H201" s="9">
        <v>852</v>
      </c>
      <c r="I201" s="121">
        <f>ABS(H201-850)</f>
        <v>2</v>
      </c>
      <c r="J201" s="125">
        <v>648</v>
      </c>
      <c r="K201" s="62">
        <f>ABS(J201-(652+K183))</f>
        <v>4</v>
      </c>
      <c r="N201" s="21"/>
      <c r="P201" s="21"/>
      <c r="Q201" s="21"/>
    </row>
    <row r="202" spans="1:17">
      <c r="A202" s="41">
        <v>20</v>
      </c>
      <c r="B202" s="3">
        <v>99.5</v>
      </c>
      <c r="C202" s="2">
        <v>99.3</v>
      </c>
      <c r="D202" s="151">
        <f t="shared" si="16"/>
        <v>0.20000000000000284</v>
      </c>
      <c r="E202" s="2">
        <v>138.80000000000001</v>
      </c>
      <c r="F202" s="2">
        <v>140.6</v>
      </c>
      <c r="G202" s="154">
        <f t="shared" si="17"/>
        <v>1.7999999999999829</v>
      </c>
      <c r="H202" s="9">
        <v>601</v>
      </c>
      <c r="I202" s="121">
        <f>ABS(H202-600)</f>
        <v>1</v>
      </c>
      <c r="J202" s="126">
        <v>650</v>
      </c>
      <c r="K202" s="59">
        <f t="shared" ref="K202:K209" si="20">ABS(J202-(652+K184))</f>
        <v>2</v>
      </c>
      <c r="N202" s="21"/>
      <c r="P202" s="21"/>
      <c r="Q202" s="21"/>
    </row>
    <row r="203" spans="1:17">
      <c r="A203" s="41">
        <v>21</v>
      </c>
      <c r="B203" s="3">
        <v>99.5</v>
      </c>
      <c r="C203" s="2">
        <v>98.7</v>
      </c>
      <c r="D203" s="151">
        <f t="shared" si="16"/>
        <v>0.79999999999999716</v>
      </c>
      <c r="E203" s="2">
        <v>138.69999999999999</v>
      </c>
      <c r="F203" s="2">
        <v>140.1</v>
      </c>
      <c r="G203" s="154">
        <f t="shared" si="17"/>
        <v>1.4000000000000057</v>
      </c>
      <c r="H203" s="9">
        <v>350</v>
      </c>
      <c r="I203" s="121">
        <f>ABS(H203-350)</f>
        <v>0</v>
      </c>
      <c r="J203" s="126">
        <v>649</v>
      </c>
      <c r="K203" s="59">
        <f t="shared" si="20"/>
        <v>3</v>
      </c>
      <c r="N203" s="21"/>
      <c r="P203" s="21"/>
      <c r="Q203" s="21"/>
    </row>
    <row r="204" spans="1:17">
      <c r="A204" s="41">
        <v>22</v>
      </c>
      <c r="B204" s="3">
        <v>99.9</v>
      </c>
      <c r="C204" s="2">
        <v>97.8</v>
      </c>
      <c r="D204" s="151">
        <f t="shared" si="16"/>
        <v>2.1000000000000085</v>
      </c>
      <c r="E204" s="2">
        <v>138.4</v>
      </c>
      <c r="F204" s="2">
        <v>139.4</v>
      </c>
      <c r="G204" s="154">
        <f t="shared" si="17"/>
        <v>1</v>
      </c>
      <c r="H204" s="9">
        <v>100</v>
      </c>
      <c r="I204" s="121">
        <f>ABS(H204-100)</f>
        <v>0</v>
      </c>
      <c r="J204" s="126">
        <v>649</v>
      </c>
      <c r="K204" s="59">
        <f t="shared" si="20"/>
        <v>3</v>
      </c>
      <c r="N204" s="21"/>
      <c r="P204" s="21"/>
      <c r="Q204" s="21"/>
    </row>
    <row r="205" spans="1:17">
      <c r="A205" s="41">
        <v>23</v>
      </c>
      <c r="B205" s="3">
        <v>100</v>
      </c>
      <c r="C205" s="2">
        <v>97.6</v>
      </c>
      <c r="D205" s="151">
        <f t="shared" si="16"/>
        <v>2.4000000000000057</v>
      </c>
      <c r="E205" s="2">
        <v>137.69999999999999</v>
      </c>
      <c r="F205" s="2">
        <v>139.30000000000001</v>
      </c>
      <c r="G205" s="154">
        <f t="shared" si="17"/>
        <v>1.6000000000000227</v>
      </c>
      <c r="H205" s="9" t="s">
        <v>16</v>
      </c>
      <c r="I205" s="121">
        <v>0</v>
      </c>
      <c r="J205" s="126">
        <v>649</v>
      </c>
      <c r="K205" s="59">
        <f t="shared" si="20"/>
        <v>3</v>
      </c>
      <c r="N205" s="21"/>
      <c r="P205" s="21"/>
      <c r="Q205" s="21"/>
    </row>
    <row r="206" spans="1:17">
      <c r="A206" s="41">
        <v>24</v>
      </c>
      <c r="B206" s="3">
        <v>100.1</v>
      </c>
      <c r="C206" s="2">
        <v>97.7</v>
      </c>
      <c r="D206" s="151">
        <f t="shared" si="16"/>
        <v>2.3999999999999915</v>
      </c>
      <c r="E206" s="2">
        <v>138.80000000000001</v>
      </c>
      <c r="F206" s="2">
        <v>139.6</v>
      </c>
      <c r="G206" s="154">
        <f t="shared" si="17"/>
        <v>0.79999999999998295</v>
      </c>
      <c r="H206" s="9">
        <v>100</v>
      </c>
      <c r="I206" s="121">
        <f>ABS(H206-100)</f>
        <v>0</v>
      </c>
      <c r="J206" s="126">
        <v>649</v>
      </c>
      <c r="K206" s="59">
        <f t="shared" si="20"/>
        <v>3</v>
      </c>
      <c r="N206" s="21"/>
      <c r="P206" s="21"/>
      <c r="Q206" s="21"/>
    </row>
    <row r="207" spans="1:17">
      <c r="A207" s="41">
        <v>25</v>
      </c>
      <c r="B207" s="3">
        <v>100.5</v>
      </c>
      <c r="C207" s="2">
        <v>97.3</v>
      </c>
      <c r="D207" s="151">
        <f t="shared" si="16"/>
        <v>3.2000000000000028</v>
      </c>
      <c r="E207" s="2">
        <v>138.6</v>
      </c>
      <c r="F207" s="2">
        <v>139.9</v>
      </c>
      <c r="G207" s="154">
        <f t="shared" si="17"/>
        <v>1.3000000000000114</v>
      </c>
      <c r="H207" s="9">
        <v>350</v>
      </c>
      <c r="I207" s="121">
        <f>ABS(H207-350)</f>
        <v>0</v>
      </c>
      <c r="J207" s="126">
        <v>650</v>
      </c>
      <c r="K207" s="59">
        <f t="shared" si="20"/>
        <v>2</v>
      </c>
      <c r="N207" s="21"/>
      <c r="P207" s="21"/>
      <c r="Q207" s="21"/>
    </row>
    <row r="208" spans="1:17">
      <c r="A208" s="41">
        <v>26</v>
      </c>
      <c r="B208" s="3">
        <v>100.3</v>
      </c>
      <c r="C208" s="2">
        <v>98.1</v>
      </c>
      <c r="D208" s="151">
        <f t="shared" si="16"/>
        <v>2.2000000000000028</v>
      </c>
      <c r="E208" s="2">
        <v>139.4</v>
      </c>
      <c r="F208" s="2">
        <v>140.19999999999999</v>
      </c>
      <c r="G208" s="154">
        <f t="shared" si="17"/>
        <v>0.79999999999998295</v>
      </c>
      <c r="H208" s="9">
        <v>600</v>
      </c>
      <c r="I208" s="121">
        <f>ABS(H208-600)</f>
        <v>0</v>
      </c>
      <c r="J208" s="126">
        <v>651</v>
      </c>
      <c r="K208" s="59">
        <f t="shared" si="20"/>
        <v>1</v>
      </c>
      <c r="N208" s="21"/>
      <c r="P208" s="21"/>
      <c r="Q208" s="21"/>
    </row>
    <row r="209" spans="1:11" ht="15.75" thickBot="1">
      <c r="A209" s="43">
        <v>27</v>
      </c>
      <c r="B209" s="44">
        <v>99.6</v>
      </c>
      <c r="C209" s="45">
        <v>99.1</v>
      </c>
      <c r="D209" s="153">
        <f t="shared" si="16"/>
        <v>0.5</v>
      </c>
      <c r="E209" s="45">
        <v>139.30000000000001</v>
      </c>
      <c r="F209" s="45">
        <v>140.80000000000001</v>
      </c>
      <c r="G209" s="156">
        <f t="shared" si="17"/>
        <v>1.5</v>
      </c>
      <c r="H209" s="46">
        <v>850</v>
      </c>
      <c r="I209" s="121">
        <f>ABS(H209-850)</f>
        <v>0</v>
      </c>
      <c r="J209" s="128">
        <v>651</v>
      </c>
      <c r="K209" s="59">
        <f t="shared" si="20"/>
        <v>1</v>
      </c>
    </row>
    <row r="211" spans="1:11" ht="15.75" thickBot="1"/>
    <row r="212" spans="1:11">
      <c r="A212" s="24" t="s">
        <v>20</v>
      </c>
      <c r="B212" s="25" t="s">
        <v>24</v>
      </c>
      <c r="C212" s="65"/>
      <c r="D212" s="26"/>
      <c r="E212" s="27"/>
      <c r="F212" s="27"/>
      <c r="G212" s="28"/>
      <c r="H212" s="29"/>
      <c r="I212" s="30"/>
      <c r="J212" s="29"/>
      <c r="K212" s="31"/>
    </row>
    <row r="213" spans="1:11" ht="15.75" thickBot="1">
      <c r="A213" s="32" t="s">
        <v>19</v>
      </c>
      <c r="B213" s="64">
        <v>200</v>
      </c>
      <c r="C213" s="66"/>
      <c r="D213" s="33"/>
      <c r="E213" s="34"/>
      <c r="F213" s="34"/>
      <c r="G213" s="35"/>
      <c r="H213" s="36"/>
      <c r="I213" s="37"/>
      <c r="J213" s="36"/>
      <c r="K213" s="38"/>
    </row>
    <row r="214" spans="1:11" ht="30">
      <c r="A214" s="39" t="s">
        <v>1</v>
      </c>
      <c r="B214" s="16" t="s">
        <v>2</v>
      </c>
      <c r="C214" s="17" t="s">
        <v>3</v>
      </c>
      <c r="D214" s="18" t="s">
        <v>4</v>
      </c>
      <c r="E214" s="17" t="s">
        <v>5</v>
      </c>
      <c r="F214" s="17" t="s">
        <v>6</v>
      </c>
      <c r="G214" s="18" t="s">
        <v>7</v>
      </c>
      <c r="H214" s="19" t="s">
        <v>11</v>
      </c>
      <c r="I214" s="18" t="s">
        <v>12</v>
      </c>
      <c r="J214" s="19" t="s">
        <v>13</v>
      </c>
      <c r="K214" s="40" t="s">
        <v>14</v>
      </c>
    </row>
    <row r="215" spans="1:11">
      <c r="A215" s="41">
        <v>1</v>
      </c>
      <c r="B215" s="3">
        <v>100</v>
      </c>
      <c r="C215" s="2">
        <v>100</v>
      </c>
      <c r="D215" s="48">
        <f>B215-C215</f>
        <v>0</v>
      </c>
      <c r="E215" s="2">
        <v>141</v>
      </c>
      <c r="F215" s="2">
        <v>141</v>
      </c>
      <c r="G215" s="51">
        <f>E215-F215</f>
        <v>0</v>
      </c>
      <c r="H215" s="9">
        <v>850</v>
      </c>
      <c r="I215" s="54">
        <f>H215-850</f>
        <v>0</v>
      </c>
      <c r="J215" s="10">
        <v>0</v>
      </c>
      <c r="K215" s="59">
        <f>J215-0</f>
        <v>0</v>
      </c>
    </row>
    <row r="216" spans="1:11">
      <c r="A216" s="41">
        <v>2</v>
      </c>
      <c r="B216" s="3">
        <v>100</v>
      </c>
      <c r="C216" s="2">
        <v>100</v>
      </c>
      <c r="D216" s="48">
        <f t="shared" ref="D216:D241" si="21">B216-C216</f>
        <v>0</v>
      </c>
      <c r="E216" s="2">
        <v>141</v>
      </c>
      <c r="F216" s="2">
        <v>141</v>
      </c>
      <c r="G216" s="51">
        <f t="shared" ref="G216:G241" si="22">E216-F216</f>
        <v>0</v>
      </c>
      <c r="H216" s="9">
        <v>600</v>
      </c>
      <c r="I216" s="55">
        <f>H216-600</f>
        <v>0</v>
      </c>
      <c r="J216" s="9">
        <v>0</v>
      </c>
      <c r="K216" s="59">
        <f t="shared" ref="K216:K222" si="23">J216-0</f>
        <v>0</v>
      </c>
    </row>
    <row r="217" spans="1:11">
      <c r="A217" s="41">
        <v>3</v>
      </c>
      <c r="B217" s="3">
        <v>100</v>
      </c>
      <c r="C217" s="2">
        <v>100</v>
      </c>
      <c r="D217" s="48">
        <f t="shared" si="21"/>
        <v>0</v>
      </c>
      <c r="E217" s="2">
        <v>141</v>
      </c>
      <c r="F217" s="2">
        <v>141</v>
      </c>
      <c r="G217" s="51">
        <f t="shared" si="22"/>
        <v>0</v>
      </c>
      <c r="H217" s="9">
        <v>350</v>
      </c>
      <c r="I217" s="55">
        <f>H217-350</f>
        <v>0</v>
      </c>
      <c r="J217" s="9">
        <v>0</v>
      </c>
      <c r="K217" s="59">
        <f t="shared" si="23"/>
        <v>0</v>
      </c>
    </row>
    <row r="218" spans="1:11">
      <c r="A218" s="41">
        <v>4</v>
      </c>
      <c r="B218" s="3">
        <v>100</v>
      </c>
      <c r="C218" s="2">
        <v>100</v>
      </c>
      <c r="D218" s="48">
        <f t="shared" si="21"/>
        <v>0</v>
      </c>
      <c r="E218" s="2">
        <v>141</v>
      </c>
      <c r="F218" s="2">
        <v>141</v>
      </c>
      <c r="G218" s="51">
        <f t="shared" si="22"/>
        <v>0</v>
      </c>
      <c r="H218" s="9">
        <v>100</v>
      </c>
      <c r="I218" s="55">
        <f>H218-100</f>
        <v>0</v>
      </c>
      <c r="J218" s="9">
        <v>0</v>
      </c>
      <c r="K218" s="59">
        <f t="shared" si="23"/>
        <v>0</v>
      </c>
    </row>
    <row r="219" spans="1:11">
      <c r="A219" s="41">
        <v>5</v>
      </c>
      <c r="B219" s="3">
        <v>100</v>
      </c>
      <c r="C219" s="2">
        <v>100</v>
      </c>
      <c r="D219" s="48">
        <f t="shared" si="21"/>
        <v>0</v>
      </c>
      <c r="E219" s="2">
        <v>141</v>
      </c>
      <c r="F219" s="2">
        <v>141</v>
      </c>
      <c r="G219" s="51">
        <f t="shared" si="22"/>
        <v>0</v>
      </c>
      <c r="H219" s="12" t="s">
        <v>16</v>
      </c>
      <c r="I219" s="56" t="s">
        <v>16</v>
      </c>
      <c r="J219" s="12" t="s">
        <v>16</v>
      </c>
      <c r="K219" s="60" t="s">
        <v>16</v>
      </c>
    </row>
    <row r="220" spans="1:11">
      <c r="A220" s="41">
        <v>6</v>
      </c>
      <c r="B220" s="3">
        <v>100</v>
      </c>
      <c r="C220" s="2">
        <v>100</v>
      </c>
      <c r="D220" s="48">
        <f t="shared" si="21"/>
        <v>0</v>
      </c>
      <c r="E220" s="2">
        <v>141</v>
      </c>
      <c r="F220" s="2">
        <v>141</v>
      </c>
      <c r="G220" s="51">
        <f t="shared" si="22"/>
        <v>0</v>
      </c>
      <c r="H220" s="9">
        <v>100</v>
      </c>
      <c r="I220" s="55">
        <f>H220-100</f>
        <v>0</v>
      </c>
      <c r="J220" s="9">
        <v>0</v>
      </c>
      <c r="K220" s="59">
        <f t="shared" si="23"/>
        <v>0</v>
      </c>
    </row>
    <row r="221" spans="1:11">
      <c r="A221" s="41">
        <v>7</v>
      </c>
      <c r="B221" s="3">
        <v>100</v>
      </c>
      <c r="C221" s="2">
        <v>100</v>
      </c>
      <c r="D221" s="48">
        <f t="shared" si="21"/>
        <v>0</v>
      </c>
      <c r="E221" s="2">
        <v>141</v>
      </c>
      <c r="F221" s="2">
        <v>141</v>
      </c>
      <c r="G221" s="51">
        <f t="shared" si="22"/>
        <v>0</v>
      </c>
      <c r="H221" s="9">
        <v>350</v>
      </c>
      <c r="I221" s="55">
        <f>H221-350</f>
        <v>0</v>
      </c>
      <c r="J221" s="9">
        <v>0</v>
      </c>
      <c r="K221" s="59">
        <f>J221-0</f>
        <v>0</v>
      </c>
    </row>
    <row r="222" spans="1:11">
      <c r="A222" s="41">
        <v>8</v>
      </c>
      <c r="B222" s="3">
        <v>100</v>
      </c>
      <c r="C222" s="2">
        <v>100</v>
      </c>
      <c r="D222" s="48">
        <f t="shared" si="21"/>
        <v>0</v>
      </c>
      <c r="E222" s="2">
        <v>141</v>
      </c>
      <c r="F222" s="2">
        <v>141</v>
      </c>
      <c r="G222" s="51">
        <f t="shared" si="22"/>
        <v>0</v>
      </c>
      <c r="H222" s="9">
        <v>600</v>
      </c>
      <c r="I222" s="55">
        <f>H222-600</f>
        <v>0</v>
      </c>
      <c r="J222" s="9">
        <v>0</v>
      </c>
      <c r="K222" s="59">
        <f t="shared" si="23"/>
        <v>0</v>
      </c>
    </row>
    <row r="223" spans="1:11">
      <c r="A223" s="42">
        <v>9</v>
      </c>
      <c r="B223" s="5">
        <v>100</v>
      </c>
      <c r="C223" s="1">
        <v>100</v>
      </c>
      <c r="D223" s="49">
        <f t="shared" si="21"/>
        <v>0</v>
      </c>
      <c r="E223" s="1">
        <v>141</v>
      </c>
      <c r="F223" s="1">
        <v>141</v>
      </c>
      <c r="G223" s="52">
        <f t="shared" si="22"/>
        <v>0</v>
      </c>
      <c r="H223" s="11">
        <v>850</v>
      </c>
      <c r="I223" s="57">
        <f>H223-850</f>
        <v>0</v>
      </c>
      <c r="J223" s="11">
        <v>0</v>
      </c>
      <c r="K223" s="61">
        <f>J223-0</f>
        <v>0</v>
      </c>
    </row>
    <row r="224" spans="1:11">
      <c r="A224" s="41">
        <v>10</v>
      </c>
      <c r="B224" s="3">
        <v>100</v>
      </c>
      <c r="C224" s="2">
        <v>100</v>
      </c>
      <c r="D224" s="48">
        <f t="shared" si="21"/>
        <v>0</v>
      </c>
      <c r="E224" s="2">
        <v>141</v>
      </c>
      <c r="F224" s="2">
        <v>141</v>
      </c>
      <c r="G224" s="51">
        <f t="shared" si="22"/>
        <v>0</v>
      </c>
      <c r="H224" s="9">
        <v>850</v>
      </c>
      <c r="I224" s="55">
        <f>H224-850</f>
        <v>0</v>
      </c>
      <c r="J224" s="13">
        <v>295.95</v>
      </c>
      <c r="K224" s="62">
        <f>J224-295.95</f>
        <v>0</v>
      </c>
    </row>
    <row r="225" spans="1:11">
      <c r="A225" s="41">
        <v>11</v>
      </c>
      <c r="B225" s="3">
        <v>100</v>
      </c>
      <c r="C225" s="2">
        <v>100</v>
      </c>
      <c r="D225" s="48">
        <f t="shared" si="21"/>
        <v>0</v>
      </c>
      <c r="E225" s="2">
        <v>141</v>
      </c>
      <c r="F225" s="2">
        <v>141</v>
      </c>
      <c r="G225" s="51">
        <f t="shared" si="22"/>
        <v>0</v>
      </c>
      <c r="H225" s="9">
        <v>600</v>
      </c>
      <c r="I225" s="55">
        <f>H225-600</f>
        <v>0</v>
      </c>
      <c r="J225" s="14">
        <v>295.95</v>
      </c>
      <c r="K225" s="59">
        <f t="shared" ref="K225:K232" si="24">J225-295.95</f>
        <v>0</v>
      </c>
    </row>
    <row r="226" spans="1:11">
      <c r="A226" s="41">
        <v>12</v>
      </c>
      <c r="B226" s="3">
        <v>100</v>
      </c>
      <c r="C226" s="2">
        <v>100</v>
      </c>
      <c r="D226" s="48">
        <f t="shared" si="21"/>
        <v>0</v>
      </c>
      <c r="E226" s="2">
        <v>141</v>
      </c>
      <c r="F226" s="2">
        <v>141</v>
      </c>
      <c r="G226" s="51">
        <f t="shared" si="22"/>
        <v>0</v>
      </c>
      <c r="H226" s="9">
        <v>350</v>
      </c>
      <c r="I226" s="55">
        <f>H226-350</f>
        <v>0</v>
      </c>
      <c r="J226" s="14">
        <v>295.95</v>
      </c>
      <c r="K226" s="59">
        <f t="shared" si="24"/>
        <v>0</v>
      </c>
    </row>
    <row r="227" spans="1:11">
      <c r="A227" s="41">
        <v>13</v>
      </c>
      <c r="B227" s="3">
        <v>100</v>
      </c>
      <c r="C227" s="2">
        <v>100</v>
      </c>
      <c r="D227" s="48">
        <f t="shared" si="21"/>
        <v>0</v>
      </c>
      <c r="E227" s="2">
        <v>141</v>
      </c>
      <c r="F227" s="2">
        <v>141</v>
      </c>
      <c r="G227" s="51">
        <f t="shared" si="22"/>
        <v>0</v>
      </c>
      <c r="H227" s="9">
        <v>100</v>
      </c>
      <c r="I227" s="55">
        <f>H227-100</f>
        <v>0</v>
      </c>
      <c r="J227" s="14">
        <v>295.95</v>
      </c>
      <c r="K227" s="59">
        <f t="shared" si="24"/>
        <v>0</v>
      </c>
    </row>
    <row r="228" spans="1:11">
      <c r="A228" s="41">
        <v>14</v>
      </c>
      <c r="B228" s="3">
        <v>100</v>
      </c>
      <c r="C228" s="2">
        <v>100</v>
      </c>
      <c r="D228" s="48">
        <f t="shared" si="21"/>
        <v>0</v>
      </c>
      <c r="E228" s="2">
        <v>141</v>
      </c>
      <c r="F228" s="2">
        <v>141</v>
      </c>
      <c r="G228" s="51">
        <f t="shared" si="22"/>
        <v>0</v>
      </c>
      <c r="H228" s="12" t="s">
        <v>16</v>
      </c>
      <c r="I228" s="56" t="s">
        <v>16</v>
      </c>
      <c r="J228" s="14">
        <v>295.95</v>
      </c>
      <c r="K228" s="59">
        <f t="shared" si="24"/>
        <v>0</v>
      </c>
    </row>
    <row r="229" spans="1:11">
      <c r="A229" s="41">
        <v>15</v>
      </c>
      <c r="B229" s="3">
        <v>100</v>
      </c>
      <c r="C229" s="2">
        <v>100</v>
      </c>
      <c r="D229" s="48">
        <f t="shared" si="21"/>
        <v>0</v>
      </c>
      <c r="E229" s="2">
        <v>141</v>
      </c>
      <c r="F229" s="2">
        <v>141</v>
      </c>
      <c r="G229" s="51">
        <f t="shared" si="22"/>
        <v>0</v>
      </c>
      <c r="H229" s="9">
        <v>100</v>
      </c>
      <c r="I229" s="55">
        <f>H229-100</f>
        <v>0</v>
      </c>
      <c r="J229" s="14">
        <v>295.95</v>
      </c>
      <c r="K229" s="59">
        <f t="shared" si="24"/>
        <v>0</v>
      </c>
    </row>
    <row r="230" spans="1:11">
      <c r="A230" s="41">
        <v>16</v>
      </c>
      <c r="B230" s="3">
        <v>100</v>
      </c>
      <c r="C230" s="2">
        <v>100</v>
      </c>
      <c r="D230" s="48">
        <f t="shared" si="21"/>
        <v>0</v>
      </c>
      <c r="E230" s="2">
        <v>141</v>
      </c>
      <c r="F230" s="2">
        <v>141</v>
      </c>
      <c r="G230" s="51">
        <f t="shared" si="22"/>
        <v>0</v>
      </c>
      <c r="H230" s="9">
        <v>350</v>
      </c>
      <c r="I230" s="55">
        <f>H230-350</f>
        <v>0</v>
      </c>
      <c r="J230" s="14">
        <v>295.95</v>
      </c>
      <c r="K230" s="59">
        <f t="shared" si="24"/>
        <v>0</v>
      </c>
    </row>
    <row r="231" spans="1:11">
      <c r="A231" s="41">
        <v>17</v>
      </c>
      <c r="B231" s="3">
        <v>100</v>
      </c>
      <c r="C231" s="2">
        <v>100</v>
      </c>
      <c r="D231" s="48">
        <f t="shared" si="21"/>
        <v>0</v>
      </c>
      <c r="E231" s="2">
        <v>141</v>
      </c>
      <c r="F231" s="2">
        <v>141</v>
      </c>
      <c r="G231" s="51">
        <f t="shared" si="22"/>
        <v>0</v>
      </c>
      <c r="H231" s="9">
        <v>600</v>
      </c>
      <c r="I231" s="55">
        <f>H231-600</f>
        <v>0</v>
      </c>
      <c r="J231" s="14">
        <v>295.95</v>
      </c>
      <c r="K231" s="59">
        <f t="shared" si="24"/>
        <v>0</v>
      </c>
    </row>
    <row r="232" spans="1:11">
      <c r="A232" s="42">
        <v>18</v>
      </c>
      <c r="B232" s="5">
        <v>100</v>
      </c>
      <c r="C232" s="1">
        <v>100</v>
      </c>
      <c r="D232" s="49">
        <f t="shared" si="21"/>
        <v>0</v>
      </c>
      <c r="E232" s="1">
        <v>141</v>
      </c>
      <c r="F232" s="1">
        <v>141</v>
      </c>
      <c r="G232" s="52">
        <f t="shared" si="22"/>
        <v>0</v>
      </c>
      <c r="H232" s="11">
        <v>850</v>
      </c>
      <c r="I232" s="57">
        <f>H232-850</f>
        <v>0</v>
      </c>
      <c r="J232" s="15">
        <v>295.95</v>
      </c>
      <c r="K232" s="61">
        <f t="shared" si="24"/>
        <v>0</v>
      </c>
    </row>
    <row r="233" spans="1:11">
      <c r="A233" s="41">
        <v>19</v>
      </c>
      <c r="B233" s="3">
        <v>100</v>
      </c>
      <c r="C233" s="2">
        <v>100</v>
      </c>
      <c r="D233" s="48">
        <f t="shared" si="21"/>
        <v>0</v>
      </c>
      <c r="E233" s="2">
        <v>141</v>
      </c>
      <c r="F233" s="2">
        <v>141</v>
      </c>
      <c r="G233" s="51">
        <f t="shared" si="22"/>
        <v>0</v>
      </c>
      <c r="H233" s="9">
        <v>850</v>
      </c>
      <c r="I233" s="55">
        <v>0</v>
      </c>
      <c r="J233" s="13">
        <v>651.9</v>
      </c>
      <c r="K233" s="62">
        <f>J233-(651.9+K215)</f>
        <v>0</v>
      </c>
    </row>
    <row r="234" spans="1:11">
      <c r="A234" s="41">
        <v>20</v>
      </c>
      <c r="B234" s="3">
        <v>100</v>
      </c>
      <c r="C234" s="2">
        <v>100</v>
      </c>
      <c r="D234" s="48">
        <f t="shared" si="21"/>
        <v>0</v>
      </c>
      <c r="E234" s="2">
        <v>141</v>
      </c>
      <c r="F234" s="2">
        <v>141</v>
      </c>
      <c r="G234" s="51">
        <f t="shared" si="22"/>
        <v>0</v>
      </c>
      <c r="H234" s="9">
        <v>600</v>
      </c>
      <c r="I234" s="55">
        <v>0</v>
      </c>
      <c r="J234" s="14">
        <v>651.9</v>
      </c>
      <c r="K234" s="59">
        <f>J234-(651.9+K216)</f>
        <v>0</v>
      </c>
    </row>
    <row r="235" spans="1:11">
      <c r="A235" s="41">
        <v>21</v>
      </c>
      <c r="B235" s="3">
        <v>100</v>
      </c>
      <c r="C235" s="2">
        <v>100</v>
      </c>
      <c r="D235" s="48">
        <f t="shared" si="21"/>
        <v>0</v>
      </c>
      <c r="E235" s="2">
        <v>141</v>
      </c>
      <c r="F235" s="2">
        <v>141</v>
      </c>
      <c r="G235" s="51">
        <f t="shared" si="22"/>
        <v>0</v>
      </c>
      <c r="H235" s="9">
        <v>350</v>
      </c>
      <c r="I235" s="55">
        <v>0</v>
      </c>
      <c r="J235" s="14">
        <v>651.9</v>
      </c>
      <c r="K235" s="59">
        <f t="shared" ref="K235:K236" si="25">J235-(651.9+K217)</f>
        <v>0</v>
      </c>
    </row>
    <row r="236" spans="1:11">
      <c r="A236" s="41">
        <v>22</v>
      </c>
      <c r="B236" s="3">
        <v>100</v>
      </c>
      <c r="C236" s="2">
        <v>100</v>
      </c>
      <c r="D236" s="48">
        <f t="shared" si="21"/>
        <v>0</v>
      </c>
      <c r="E236" s="2">
        <v>141</v>
      </c>
      <c r="F236" s="2">
        <v>141</v>
      </c>
      <c r="G236" s="51">
        <f t="shared" si="22"/>
        <v>0</v>
      </c>
      <c r="H236" s="9">
        <v>100</v>
      </c>
      <c r="I236" s="55">
        <v>0</v>
      </c>
      <c r="J236" s="14">
        <v>651.9</v>
      </c>
      <c r="K236" s="59">
        <f t="shared" si="25"/>
        <v>0</v>
      </c>
    </row>
    <row r="237" spans="1:11">
      <c r="A237" s="41">
        <v>23</v>
      </c>
      <c r="B237" s="3">
        <v>100</v>
      </c>
      <c r="C237" s="2">
        <v>100</v>
      </c>
      <c r="D237" s="48">
        <f t="shared" si="21"/>
        <v>0</v>
      </c>
      <c r="E237" s="2">
        <v>141</v>
      </c>
      <c r="F237" s="2">
        <v>141</v>
      </c>
      <c r="G237" s="51">
        <f t="shared" si="22"/>
        <v>0</v>
      </c>
      <c r="H237" s="12" t="s">
        <v>16</v>
      </c>
      <c r="I237" s="56" t="s">
        <v>16</v>
      </c>
      <c r="J237" s="14">
        <v>651.9</v>
      </c>
      <c r="K237" s="59">
        <f t="shared" ref="K237" si="26">J237-651.9</f>
        <v>0</v>
      </c>
    </row>
    <row r="238" spans="1:11">
      <c r="A238" s="41">
        <v>24</v>
      </c>
      <c r="B238" s="3">
        <v>100</v>
      </c>
      <c r="C238" s="2">
        <v>100</v>
      </c>
      <c r="D238" s="48">
        <f t="shared" si="21"/>
        <v>0</v>
      </c>
      <c r="E238" s="2">
        <v>141</v>
      </c>
      <c r="F238" s="2">
        <v>141</v>
      </c>
      <c r="G238" s="51">
        <f t="shared" si="22"/>
        <v>0</v>
      </c>
      <c r="H238" s="9">
        <v>100</v>
      </c>
      <c r="I238" s="55">
        <v>0</v>
      </c>
      <c r="J238" s="14">
        <v>651.9</v>
      </c>
      <c r="K238" s="59">
        <f>J238-(651.9+K220)</f>
        <v>0</v>
      </c>
    </row>
    <row r="239" spans="1:11">
      <c r="A239" s="41">
        <v>25</v>
      </c>
      <c r="B239" s="3">
        <v>100</v>
      </c>
      <c r="C239" s="2">
        <v>100</v>
      </c>
      <c r="D239" s="48">
        <f t="shared" si="21"/>
        <v>0</v>
      </c>
      <c r="E239" s="2">
        <v>141</v>
      </c>
      <c r="F239" s="2">
        <v>141</v>
      </c>
      <c r="G239" s="51">
        <f t="shared" si="22"/>
        <v>0</v>
      </c>
      <c r="H239" s="9">
        <v>350</v>
      </c>
      <c r="I239" s="55">
        <v>0</v>
      </c>
      <c r="J239" s="14">
        <v>651.9</v>
      </c>
      <c r="K239" s="59">
        <f t="shared" ref="K239:K241" si="27">J239-(651.9+K221)</f>
        <v>0</v>
      </c>
    </row>
    <row r="240" spans="1:11">
      <c r="A240" s="41">
        <v>26</v>
      </c>
      <c r="B240" s="3">
        <v>100</v>
      </c>
      <c r="C240" s="2">
        <v>100</v>
      </c>
      <c r="D240" s="48">
        <f t="shared" si="21"/>
        <v>0</v>
      </c>
      <c r="E240" s="2">
        <v>141</v>
      </c>
      <c r="F240" s="2">
        <v>141</v>
      </c>
      <c r="G240" s="51">
        <f t="shared" si="22"/>
        <v>0</v>
      </c>
      <c r="H240" s="9">
        <v>600</v>
      </c>
      <c r="I240" s="55">
        <v>0</v>
      </c>
      <c r="J240" s="14">
        <v>651.9</v>
      </c>
      <c r="K240" s="59">
        <f t="shared" si="27"/>
        <v>0</v>
      </c>
    </row>
    <row r="241" spans="1:11" ht="15.75" thickBot="1">
      <c r="A241" s="43">
        <v>27</v>
      </c>
      <c r="B241" s="44">
        <v>100</v>
      </c>
      <c r="C241" s="45">
        <v>100</v>
      </c>
      <c r="D241" s="50">
        <f t="shared" si="21"/>
        <v>0</v>
      </c>
      <c r="E241" s="45">
        <v>141</v>
      </c>
      <c r="F241" s="45">
        <v>141</v>
      </c>
      <c r="G241" s="53">
        <f t="shared" si="22"/>
        <v>0</v>
      </c>
      <c r="H241" s="46">
        <v>850</v>
      </c>
      <c r="I241" s="58">
        <v>0</v>
      </c>
      <c r="J241" s="47">
        <v>651.9</v>
      </c>
      <c r="K241" s="63">
        <f t="shared" si="27"/>
        <v>0</v>
      </c>
    </row>
  </sheetData>
  <conditionalFormatting sqref="D49:D75 B15:J17 B20:J22 B82:J84 B87:J89 D116:D142">
    <cfRule type="cellIs" dxfId="126" priority="100" operator="lessThan">
      <formula>-1</formula>
    </cfRule>
    <cfRule type="cellIs" dxfId="125" priority="101" operator="lessThan">
      <formula>-0.5</formula>
    </cfRule>
    <cfRule type="cellIs" dxfId="124" priority="102" operator="greaterThan">
      <formula>1</formula>
    </cfRule>
    <cfRule type="cellIs" dxfId="123" priority="103" operator="greaterThan">
      <formula>0.5</formula>
    </cfRule>
    <cfRule type="cellIs" dxfId="122" priority="104" operator="between">
      <formula>-0.5</formula>
      <formula>0.5</formula>
    </cfRule>
  </conditionalFormatting>
  <conditionalFormatting sqref="G49:G75 G116:G142">
    <cfRule type="cellIs" dxfId="121" priority="96" operator="lessThan">
      <formula>-1</formula>
    </cfRule>
    <cfRule type="cellIs" dxfId="120" priority="97" operator="greaterThan">
      <formula>2</formula>
    </cfRule>
    <cfRule type="cellIs" dxfId="119" priority="98" operator="greaterThan">
      <formula>1</formula>
    </cfRule>
    <cfRule type="cellIs" dxfId="118" priority="99" operator="between">
      <formula>-1</formula>
      <formula>1</formula>
    </cfRule>
  </conditionalFormatting>
  <conditionalFormatting sqref="I49:I75 I116:I142">
    <cfRule type="cellIs" dxfId="117" priority="89" operator="equal">
      <formula>0</formula>
    </cfRule>
    <cfRule type="cellIs" dxfId="116" priority="94" operator="greaterThan">
      <formula>2</formula>
    </cfRule>
    <cfRule type="cellIs" dxfId="115" priority="95" operator="greaterThan">
      <formula>0.5</formula>
    </cfRule>
  </conditionalFormatting>
  <conditionalFormatting sqref="K54:K75 K116:K119 K121:K142 K49:K52">
    <cfRule type="cellIs" dxfId="65" priority="90" operator="greaterThan">
      <formula>1</formula>
    </cfRule>
    <cfRule type="cellIs" dxfId="114" priority="91" operator="greaterThan">
      <formula>0.25</formula>
    </cfRule>
    <cfRule type="cellIs" dxfId="113" priority="92" operator="lessThan">
      <formula>-0.5</formula>
    </cfRule>
    <cfRule type="cellIs" dxfId="112" priority="93" operator="lessThan">
      <formula>-0.25</formula>
    </cfRule>
  </conditionalFormatting>
  <conditionalFormatting sqref="K116:K142 K49:K75">
    <cfRule type="cellIs" dxfId="111" priority="88" operator="equal">
      <formula>0</formula>
    </cfRule>
  </conditionalFormatting>
  <conditionalFormatting sqref="B25:J27 B92:J94">
    <cfRule type="cellIs" dxfId="110" priority="73" operator="lessThan">
      <formula>-2</formula>
    </cfRule>
    <cfRule type="cellIs" dxfId="109" priority="74" operator="lessThan">
      <formula>-0.5</formula>
    </cfRule>
    <cfRule type="cellIs" dxfId="108" priority="75" operator="greaterThan">
      <formula>2</formula>
    </cfRule>
    <cfRule type="cellIs" dxfId="107" priority="76" operator="greaterThan">
      <formula>0.5</formula>
    </cfRule>
    <cfRule type="cellIs" dxfId="106" priority="77" operator="between">
      <formula>-0.5</formula>
      <formula>0.5</formula>
    </cfRule>
  </conditionalFormatting>
  <conditionalFormatting sqref="B30:J32 B97:J99">
    <cfRule type="cellIs" dxfId="105" priority="68" operator="lessThan">
      <formula>-1</formula>
    </cfRule>
    <cfRule type="cellIs" dxfId="104" priority="69" operator="lessThan">
      <formula>-0.4</formula>
    </cfRule>
    <cfRule type="cellIs" dxfId="103" priority="70" operator="greaterThan">
      <formula>1</formula>
    </cfRule>
    <cfRule type="cellIs" dxfId="102" priority="71" operator="greaterThan">
      <formula>0.4</formula>
    </cfRule>
    <cfRule type="cellIs" dxfId="101" priority="72" operator="between">
      <formula>-0.5</formula>
      <formula>0.5</formula>
    </cfRule>
  </conditionalFormatting>
  <conditionalFormatting sqref="B149:J151 B154:J156">
    <cfRule type="cellIs" dxfId="100" priority="63" operator="lessThan">
      <formula>-1</formula>
    </cfRule>
    <cfRule type="cellIs" dxfId="99" priority="64" operator="lessThan">
      <formula>-0.5</formula>
    </cfRule>
    <cfRule type="cellIs" dxfId="98" priority="65" operator="greaterThan">
      <formula>1</formula>
    </cfRule>
    <cfRule type="cellIs" dxfId="97" priority="66" operator="greaterThan">
      <formula>0.5</formula>
    </cfRule>
    <cfRule type="cellIs" dxfId="96" priority="67" operator="between">
      <formula>-0.5</formula>
      <formula>0.5</formula>
    </cfRule>
  </conditionalFormatting>
  <conditionalFormatting sqref="B159:J161">
    <cfRule type="cellIs" dxfId="95" priority="58" operator="lessThan">
      <formula>-2</formula>
    </cfRule>
    <cfRule type="cellIs" dxfId="94" priority="59" operator="lessThan">
      <formula>-0.5</formula>
    </cfRule>
    <cfRule type="cellIs" dxfId="93" priority="60" operator="greaterThan">
      <formula>2</formula>
    </cfRule>
    <cfRule type="cellIs" dxfId="92" priority="61" operator="greaterThan">
      <formula>0.5</formula>
    </cfRule>
    <cfRule type="cellIs" dxfId="91" priority="62" operator="between">
      <formula>-0.5</formula>
      <formula>0.5</formula>
    </cfRule>
  </conditionalFormatting>
  <conditionalFormatting sqref="B164:J166">
    <cfRule type="cellIs" dxfId="90" priority="53" operator="lessThan">
      <formula>-1</formula>
    </cfRule>
    <cfRule type="cellIs" dxfId="89" priority="54" operator="lessThan">
      <formula>-0.4</formula>
    </cfRule>
    <cfRule type="cellIs" dxfId="88" priority="55" operator="greaterThan">
      <formula>1</formula>
    </cfRule>
    <cfRule type="cellIs" dxfId="87" priority="56" operator="greaterThan">
      <formula>0.4</formula>
    </cfRule>
    <cfRule type="cellIs" dxfId="86" priority="57" operator="between">
      <formula>-0.5</formula>
      <formula>0.5</formula>
    </cfRule>
  </conditionalFormatting>
  <conditionalFormatting sqref="D183:D209">
    <cfRule type="cellIs" dxfId="85" priority="48" operator="lessThan">
      <formula>-1</formula>
    </cfRule>
    <cfRule type="cellIs" dxfId="84" priority="49" operator="lessThan">
      <formula>-0.5</formula>
    </cfRule>
    <cfRule type="cellIs" dxfId="83" priority="50" operator="greaterThan">
      <formula>1</formula>
    </cfRule>
    <cfRule type="cellIs" dxfId="82" priority="51" operator="greaterThan">
      <formula>0.5</formula>
    </cfRule>
    <cfRule type="cellIs" dxfId="81" priority="52" operator="between">
      <formula>-0.5</formula>
      <formula>0.5</formula>
    </cfRule>
  </conditionalFormatting>
  <conditionalFormatting sqref="G183:G209">
    <cfRule type="cellIs" dxfId="80" priority="44" operator="lessThan">
      <formula>-1</formula>
    </cfRule>
    <cfRule type="cellIs" dxfId="79" priority="45" operator="greaterThan">
      <formula>2</formula>
    </cfRule>
    <cfRule type="cellIs" dxfId="78" priority="46" operator="greaterThan">
      <formula>1</formula>
    </cfRule>
    <cfRule type="cellIs" dxfId="77" priority="47" operator="between">
      <formula>-1</formula>
      <formula>1</formula>
    </cfRule>
  </conditionalFormatting>
  <conditionalFormatting sqref="I183:I209">
    <cfRule type="cellIs" dxfId="76" priority="41" operator="equal">
      <formula>0</formula>
    </cfRule>
    <cfRule type="cellIs" dxfId="75" priority="42" operator="lessThan">
      <formula>-2.5</formula>
    </cfRule>
    <cfRule type="cellIs" dxfId="74" priority="43" operator="lessThan">
      <formula>-0.5</formula>
    </cfRule>
  </conditionalFormatting>
  <conditionalFormatting sqref="K188:K209 K183:K186">
    <cfRule type="cellIs" dxfId="73" priority="37" operator="greaterThan">
      <formula>0.5</formula>
    </cfRule>
    <cfRule type="cellIs" dxfId="72" priority="38" operator="greaterThan">
      <formula>0.25</formula>
    </cfRule>
    <cfRule type="cellIs" dxfId="71" priority="39" operator="lessThan">
      <formula>-0.5</formula>
    </cfRule>
    <cfRule type="cellIs" dxfId="70" priority="40" operator="lessThan">
      <formula>-0.25</formula>
    </cfRule>
  </conditionalFormatting>
  <conditionalFormatting sqref="K183:K209">
    <cfRule type="cellIs" dxfId="69" priority="36" operator="equal">
      <formula>0</formula>
    </cfRule>
  </conditionalFormatting>
  <conditionalFormatting sqref="I183:I209">
    <cfRule type="cellIs" dxfId="68" priority="1" operator="equal">
      <formula>0</formula>
    </cfRule>
    <cfRule type="cellIs" dxfId="67" priority="2" operator="greaterThan">
      <formula>2</formula>
    </cfRule>
    <cfRule type="cellIs" dxfId="66" priority="3" operator="greaterThan">
      <formula>0.5</formula>
    </cfRule>
  </conditionalFormatting>
  <pageMargins left="0.7" right="0.7" top="0.75" bottom="0.75" header="0.3" footer="0.3"/>
  <pageSetup orientation="portrait" horizontalDpi="4294967293" verticalDpi="4294967293" r:id="rId1"/>
  <ignoredErrors>
    <ignoredError sqref="K116:K142" calculatedColumn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X_Y_Range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Maynard</dc:creator>
  <cp:lastModifiedBy>Bryan Maynard</cp:lastModifiedBy>
  <dcterms:created xsi:type="dcterms:W3CDTF">2017-12-09T01:46:11Z</dcterms:created>
  <dcterms:modified xsi:type="dcterms:W3CDTF">2018-02-11T18:01:21Z</dcterms:modified>
</cp:coreProperties>
</file>